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6165" windowWidth="19200" windowHeight="735" tabRatio="870"/>
  </bookViews>
  <sheets>
    <sheet name="CTaxSum Page " sheetId="2" r:id="rId1"/>
    <sheet name="Planning &amp; ED" sheetId="3" r:id="rId2"/>
    <sheet name="Housing " sheetId="29" r:id="rId3"/>
    <sheet name="Partnerships" sheetId="10" r:id="rId4"/>
    <sheet name="Env Health" sheetId="43" r:id="rId5"/>
    <sheet name=" Street Scene" sheetId="7" r:id="rId6"/>
    <sheet name="Asset Management" sheetId="45" r:id="rId7"/>
    <sheet name="Finance &amp; Bus Services" sheetId="13" r:id="rId8"/>
    <sheet name="Legal &amp; Democratic " sheetId="16" r:id="rId9"/>
    <sheet name="Human Resources" sheetId="36" r:id="rId10"/>
    <sheet name="Directors" sheetId="18" r:id="rId11"/>
    <sheet name="Assurance Services" sheetId="19" r:id="rId12"/>
    <sheet name="General Expenses" sheetId="20" r:id="rId13"/>
  </sheets>
  <definedNames>
    <definedName name="_xlnm._FilterDatabase" localSheetId="5" hidden="1">' Street Scene'!$A$2:$F$244</definedName>
    <definedName name="_xlnm._FilterDatabase" localSheetId="6" hidden="1">'Asset Management'!$E$1:$E$236</definedName>
    <definedName name="_xlnm._FilterDatabase" localSheetId="4" hidden="1">'Env Health'!$A$1:$F$109</definedName>
    <definedName name="_xlnm._FilterDatabase" localSheetId="7" hidden="1">'Finance &amp; Bus Services'!$E$1:$E$198</definedName>
    <definedName name="_xlnm._FilterDatabase" localSheetId="2" hidden="1">'Housing '!$A$1:$F$79</definedName>
    <definedName name="_xlnm._FilterDatabase" localSheetId="9" hidden="1">'Human Resources'!#REF!</definedName>
    <definedName name="_xlnm._FilterDatabase" localSheetId="8" hidden="1">'Legal &amp; Democratic '!$E$1:$E$228</definedName>
    <definedName name="_xlnm._FilterDatabase" localSheetId="3" hidden="1">Partnerships!$A$2:$E$2108</definedName>
    <definedName name="_xlnm._FilterDatabase" localSheetId="1" hidden="1">'Planning &amp; ED'!$A$1:$HW$124</definedName>
    <definedName name="_xlnm.Print_Area" localSheetId="5">' Street Scene'!$A$1:$H$266</definedName>
    <definedName name="_xlnm.Print_Area" localSheetId="6">'Asset Management'!$A$1:$H$323</definedName>
    <definedName name="_xlnm.Print_Area" localSheetId="11">'Assurance Services'!$A$1:$H$73</definedName>
    <definedName name="_xlnm.Print_Area" localSheetId="0">'CTaxSum Page '!$B$1:$H$53</definedName>
    <definedName name="_xlnm.Print_Area" localSheetId="10">Directors!$A$1:$H$21</definedName>
    <definedName name="_xlnm.Print_Area" localSheetId="4">'Env Health'!$A$1:$H$137</definedName>
    <definedName name="_xlnm.Print_Area" localSheetId="7">'Finance &amp; Bus Services'!$A$1:$H$264</definedName>
    <definedName name="_xlnm.Print_Area" localSheetId="12">'General Expenses'!$A$1:$H$42</definedName>
    <definedName name="_xlnm.Print_Area" localSheetId="2">'Housing '!$A$1:$G$51</definedName>
    <definedName name="_xlnm.Print_Area" localSheetId="9">'Human Resources'!$A$1:$H$171</definedName>
    <definedName name="_xlnm.Print_Area" localSheetId="8">'Legal &amp; Democratic '!$A$1:$H$224</definedName>
    <definedName name="_xlnm.Print_Area" localSheetId="3">Partnerships!$A$1:$H$184</definedName>
    <definedName name="_xlnm.Print_Area" localSheetId="1">'Planning &amp; ED'!$A$1:$G$134</definedName>
    <definedName name="Z_BF79B4FB_E0F3_462F_B5FF_4B68ABCE5C82_.wvu.PrintArea" localSheetId="4" hidden="1">'Env Health'!$A$1:$C$97</definedName>
    <definedName name="Z_BF79B4FB_E0F3_462F_B5FF_4B68ABCE5C82_.wvu.PrintArea" localSheetId="2" hidden="1">'Housing '!$A$1:$C$61</definedName>
    <definedName name="Z_CA1631C2_F325_11D6_AB9C_00B0D0BAF716_.wvu.Cols" localSheetId="3" hidden="1">Partnerships!#REF!</definedName>
    <definedName name="Z_CA1631C2_F325_11D6_AB9C_00B0D0BAF716_.wvu.PrintArea" localSheetId="11" hidden="1">'Assurance Services'!$A$24:$C$39</definedName>
    <definedName name="Z_CA1631C2_F325_11D6_AB9C_00B0D0BAF716_.wvu.PrintArea" localSheetId="0" hidden="1">'CTaxSum Page '!$B$1:$C$49</definedName>
    <definedName name="Z_CA1631C2_F325_11D6_AB9C_00B0D0BAF716_.wvu.PrintArea" localSheetId="10" hidden="1">Directors!$A$1:$C$13</definedName>
    <definedName name="Z_CA1631C2_F325_11D6_AB9C_00B0D0BAF716_.wvu.PrintArea" localSheetId="4" hidden="1">'Env Health'!$A$1:$C$97</definedName>
    <definedName name="Z_CA1631C2_F325_11D6_AB9C_00B0D0BAF716_.wvu.PrintArea" localSheetId="12" hidden="1">'General Expenses'!$A$1:$C$41</definedName>
    <definedName name="Z_CA1631C2_F325_11D6_AB9C_00B0D0BAF716_.wvu.PrintArea" localSheetId="2" hidden="1">'Housing '!$A$1:$C$61</definedName>
    <definedName name="Z_CA1631C2_F325_11D6_AB9C_00B0D0BAF716_.wvu.PrintArea" localSheetId="9" hidden="1">'Human Resources'!$A$4:$C$162</definedName>
    <definedName name="Z_CA1631C2_F325_11D6_AB9C_00B0D0BAF716_.wvu.PrintArea" localSheetId="3" hidden="1">Partnerships!$A$2:$D$149</definedName>
    <definedName name="Z_CA1631C2_F325_11D6_AB9C_00B0D0BAF716_.wvu.PrintArea" localSheetId="1" hidden="1">'Planning &amp; ED'!$A$1:$C$107</definedName>
    <definedName name="Z_CA1631C2_F325_11D6_AB9C_00B0D0BAF716_.wvu.Rows" localSheetId="6" hidden="1">'Asset Management'!#REF!,'Asset Management'!#REF!,'Asset Management'!#REF!,'Asset Management'!#REF!</definedName>
    <definedName name="Z_CA1631C2_F325_11D6_AB9C_00B0D0BAF716_.wvu.Rows" localSheetId="12" hidden="1">'General Expenses'!#REF!,'General Expenses'!#REF!</definedName>
    <definedName name="Z_CA1631C2_F325_11D6_AB9C_00B0D0BAF716_.wvu.Rows" localSheetId="8" hidden="1">'Legal &amp; Democratic '!#REF!,'Legal &amp; Democratic '!#REF!,'Legal &amp; Democratic '!#REF!,'Legal &amp; Democratic '!#REF!</definedName>
    <definedName name="Z_CA1631C2_F325_11D6_AB9C_00B0D0BAF716_.wvu.Rows" localSheetId="1" hidden="1">'Planning &amp; ED'!$50:$50,'Planning &amp; ED'!#REF!,'Planning &amp; ED'!#REF!,'Planning &amp; ED'!#REF!</definedName>
  </definedNames>
  <calcPr calcId="162913" iterateCount="1" calcOnSave="0" concurrentCalc="0"/>
  <customWorkbookViews>
    <customWorkbookView name="Accounts &amp; Finance - Personal View" guid="{CA1631C2-F325-11D6-AB9C-00B0D0BAF716}" mergeInterval="0" personalView="1" maximized="1" windowWidth="796" windowHeight="434" tabRatio="593" activeSheetId="4" showComments="commIndAndComment"/>
    <customWorkbookView name="Accountancy and Finance - Personal View" guid="{061CE440-224A-11D7-AABC-0050DA1BA6DB}" mergeInterval="0" personalView="1" minimized="1" windowWidth="0" windowHeight="0" tabRatio="930" activeSheetId="4"/>
  </customWorkbookViews>
</workbook>
</file>

<file path=xl/calcChain.xml><?xml version="1.0" encoding="utf-8"?>
<calcChain xmlns="http://schemas.openxmlformats.org/spreadsheetml/2006/main">
  <c r="E136" i="45" l="1"/>
  <c r="E119" i="45"/>
  <c r="E184" i="13"/>
  <c r="E15" i="20"/>
  <c r="E196" i="10"/>
  <c r="E195" i="10"/>
  <c r="E11" i="20"/>
  <c r="G13" i="20"/>
  <c r="E237" i="13"/>
  <c r="E239" i="13"/>
  <c r="E213" i="13"/>
  <c r="E211" i="13"/>
  <c r="E186" i="13"/>
  <c r="E159" i="13"/>
  <c r="E160" i="13"/>
  <c r="E198" i="16"/>
  <c r="E174" i="16"/>
  <c r="E69" i="16"/>
  <c r="E67" i="16"/>
  <c r="E44" i="16"/>
  <c r="E46" i="16"/>
  <c r="E114" i="16"/>
  <c r="E112" i="16"/>
  <c r="E218" i="16"/>
  <c r="E216" i="16"/>
  <c r="E172" i="7"/>
  <c r="E251" i="7"/>
  <c r="E226" i="7"/>
  <c r="E173" i="7"/>
  <c r="E47" i="7"/>
  <c r="E67" i="7"/>
  <c r="E97" i="7"/>
  <c r="E121" i="7"/>
  <c r="E145" i="7"/>
  <c r="E175" i="7"/>
  <c r="E253" i="7"/>
  <c r="E250" i="7"/>
  <c r="E144" i="7"/>
  <c r="E119" i="7"/>
  <c r="E95" i="7"/>
  <c r="E65" i="7"/>
  <c r="E44" i="7"/>
  <c r="E31" i="29"/>
  <c r="E45" i="10"/>
  <c r="E42" i="10"/>
  <c r="E33" i="29"/>
  <c r="E13" i="18"/>
  <c r="E11" i="18"/>
  <c r="E121" i="3"/>
  <c r="E69" i="3"/>
  <c r="E37" i="3"/>
  <c r="E119" i="3"/>
  <c r="E67" i="3"/>
  <c r="E35" i="3"/>
  <c r="E92" i="45"/>
  <c r="E120" i="45"/>
  <c r="E178" i="45"/>
  <c r="E75" i="45"/>
  <c r="E50" i="45"/>
  <c r="E299" i="45"/>
  <c r="E93" i="45"/>
  <c r="E76" i="45"/>
  <c r="E51" i="45"/>
  <c r="E219" i="45"/>
  <c r="E217" i="45"/>
  <c r="E110" i="36"/>
  <c r="E65" i="36"/>
  <c r="E129" i="36"/>
  <c r="E124" i="43"/>
  <c r="E46" i="36"/>
  <c r="E112" i="36"/>
  <c r="E111" i="36"/>
  <c r="E89" i="36"/>
  <c r="E88" i="36"/>
  <c r="E67" i="36"/>
  <c r="E131" i="36"/>
  <c r="E48" i="36"/>
  <c r="E87" i="43"/>
  <c r="E107" i="43"/>
  <c r="E152" i="43"/>
  <c r="E150" i="43"/>
  <c r="E126" i="43"/>
  <c r="E106" i="43"/>
  <c r="E86" i="43"/>
  <c r="E34" i="29"/>
  <c r="C42" i="29"/>
  <c r="E42" i="29"/>
  <c r="E41" i="2"/>
  <c r="E36" i="2"/>
  <c r="E40" i="2"/>
  <c r="E48" i="2"/>
  <c r="E39" i="3"/>
  <c r="G40" i="2"/>
  <c r="G41" i="2"/>
  <c r="E76" i="7"/>
  <c r="E128" i="45"/>
  <c r="E74" i="7"/>
  <c r="G36" i="2"/>
  <c r="G37" i="2"/>
  <c r="E35" i="2"/>
  <c r="E39" i="2"/>
  <c r="E38" i="2"/>
  <c r="E34" i="2"/>
  <c r="E33" i="2"/>
  <c r="E32" i="2"/>
  <c r="E68" i="10"/>
  <c r="E58" i="45"/>
  <c r="E135" i="45"/>
  <c r="E134" i="45"/>
  <c r="E132" i="45"/>
  <c r="E131" i="45"/>
  <c r="E154" i="7"/>
  <c r="E151" i="7"/>
  <c r="E156" i="7"/>
  <c r="E51" i="19"/>
  <c r="E96" i="3"/>
  <c r="E261" i="7"/>
  <c r="E69" i="7"/>
  <c r="E123" i="7"/>
  <c r="E98" i="7"/>
  <c r="E79" i="13"/>
  <c r="E54" i="13"/>
  <c r="E74" i="3"/>
  <c r="C67" i="3"/>
  <c r="C35" i="3"/>
  <c r="E238" i="13"/>
  <c r="E259" i="13"/>
  <c r="E194" i="16"/>
  <c r="E175" i="16"/>
  <c r="E173" i="16"/>
  <c r="E197" i="16"/>
  <c r="G196" i="16"/>
  <c r="E195" i="16"/>
  <c r="E140" i="16"/>
  <c r="E68" i="19"/>
  <c r="E34" i="19"/>
  <c r="E192" i="13"/>
  <c r="G108" i="10"/>
  <c r="E103" i="10"/>
  <c r="E200" i="10"/>
  <c r="E51" i="10"/>
  <c r="E44" i="10"/>
  <c r="E26" i="2"/>
  <c r="E44" i="3"/>
  <c r="E46" i="7"/>
  <c r="E75" i="7"/>
  <c r="E66" i="7"/>
  <c r="E103" i="7"/>
  <c r="E96" i="7"/>
  <c r="E128" i="7"/>
  <c r="E122" i="7"/>
  <c r="E120" i="7"/>
  <c r="E101" i="3"/>
  <c r="E36" i="3"/>
  <c r="E72" i="36"/>
  <c r="E146" i="10"/>
  <c r="E85" i="13"/>
  <c r="G193" i="13"/>
  <c r="E233" i="7"/>
  <c r="E228" i="7"/>
  <c r="E227" i="7"/>
  <c r="E146" i="7"/>
  <c r="E174" i="7"/>
  <c r="E255" i="7"/>
  <c r="E252" i="7"/>
  <c r="E48" i="43"/>
  <c r="E41" i="43"/>
  <c r="E40" i="43"/>
  <c r="E39" i="43"/>
  <c r="E38" i="43"/>
  <c r="E42" i="43"/>
  <c r="E69" i="43"/>
  <c r="E151" i="43"/>
  <c r="E125" i="43"/>
  <c r="E170" i="10"/>
  <c r="E169" i="10"/>
  <c r="E124" i="10"/>
  <c r="E121" i="16"/>
  <c r="C118" i="16"/>
  <c r="G115" i="16"/>
  <c r="E90" i="16"/>
  <c r="E91" i="16"/>
  <c r="E74" i="16"/>
  <c r="G74" i="16"/>
  <c r="E118" i="16"/>
  <c r="C151" i="7"/>
  <c r="E25" i="2"/>
  <c r="E80" i="13"/>
  <c r="C106" i="13"/>
  <c r="G103" i="13"/>
  <c r="E159" i="36"/>
  <c r="E133" i="36"/>
  <c r="E130" i="36"/>
  <c r="E47" i="36"/>
  <c r="E66" i="36"/>
  <c r="E41" i="29"/>
  <c r="E40" i="29"/>
  <c r="E273" i="45"/>
  <c r="E278" i="45"/>
  <c r="E298" i="45"/>
  <c r="E244" i="45"/>
  <c r="E226" i="45"/>
  <c r="E221" i="45"/>
  <c r="E220" i="45"/>
  <c r="E199" i="45"/>
  <c r="E184" i="45"/>
  <c r="E179" i="45"/>
  <c r="E156" i="45"/>
  <c r="E162" i="45"/>
  <c r="E157" i="45"/>
  <c r="E137" i="45"/>
  <c r="E133" i="45"/>
  <c r="E100" i="45"/>
  <c r="E99" i="45"/>
  <c r="E98" i="45"/>
  <c r="E57" i="45"/>
  <c r="E59" i="45"/>
  <c r="E246" i="13"/>
  <c r="E245" i="13"/>
  <c r="E62" i="13"/>
  <c r="G62" i="13"/>
  <c r="E61" i="13"/>
  <c r="E109" i="13"/>
  <c r="E110" i="13"/>
  <c r="G110" i="13"/>
  <c r="E128" i="13"/>
  <c r="G128" i="13"/>
  <c r="C124" i="13"/>
  <c r="C126" i="13"/>
  <c r="C127" i="13"/>
  <c r="E127" i="13"/>
  <c r="E124" i="13"/>
  <c r="E212" i="13"/>
  <c r="G127" i="13"/>
  <c r="E131" i="13"/>
  <c r="C131" i="13"/>
  <c r="E161" i="13"/>
  <c r="G166" i="13"/>
  <c r="C164" i="13"/>
  <c r="C169" i="13"/>
  <c r="E194" i="13"/>
  <c r="E187" i="13"/>
  <c r="G151" i="10"/>
  <c r="E145" i="10"/>
  <c r="E104" i="10"/>
  <c r="E106" i="10"/>
  <c r="E111" i="10"/>
  <c r="E161" i="36"/>
  <c r="E34" i="20"/>
  <c r="E133" i="43"/>
  <c r="G194" i="13"/>
  <c r="C69" i="43"/>
  <c r="C99" i="3"/>
  <c r="C104" i="3"/>
  <c r="C125" i="3"/>
  <c r="G147" i="7"/>
  <c r="C149" i="7"/>
  <c r="E149" i="7"/>
  <c r="E49" i="36"/>
  <c r="G317" i="45"/>
  <c r="E321" i="45"/>
  <c r="E33" i="45"/>
  <c r="C321" i="45"/>
  <c r="C33" i="45"/>
  <c r="G318" i="45"/>
  <c r="G321" i="45"/>
  <c r="G33" i="45"/>
  <c r="E297" i="45"/>
  <c r="C92" i="43"/>
  <c r="E129" i="10"/>
  <c r="G158" i="43"/>
  <c r="G157" i="43"/>
  <c r="G153" i="43"/>
  <c r="G150" i="43"/>
  <c r="E155" i="43"/>
  <c r="E161" i="43"/>
  <c r="E21" i="43"/>
  <c r="G152" i="43"/>
  <c r="C155" i="43"/>
  <c r="C161" i="43"/>
  <c r="C21" i="43"/>
  <c r="G151" i="43"/>
  <c r="G21" i="43"/>
  <c r="G155" i="43"/>
  <c r="G161" i="43"/>
  <c r="G89" i="43"/>
  <c r="E88" i="43"/>
  <c r="G86" i="43"/>
  <c r="E164" i="13"/>
  <c r="E169" i="13"/>
  <c r="G169" i="13"/>
  <c r="G164" i="13"/>
  <c r="E96" i="16"/>
  <c r="E89" i="16"/>
  <c r="E88" i="16"/>
  <c r="E87" i="16"/>
  <c r="E27" i="2"/>
  <c r="E95" i="3"/>
  <c r="E92" i="43"/>
  <c r="E210" i="7"/>
  <c r="E96" i="36"/>
  <c r="C96" i="36"/>
  <c r="G94" i="36"/>
  <c r="G96" i="36"/>
  <c r="E92" i="36"/>
  <c r="E99" i="36"/>
  <c r="C92" i="36"/>
  <c r="C99" i="36"/>
  <c r="G92" i="36"/>
  <c r="E147" i="10"/>
  <c r="E140" i="36"/>
  <c r="G15" i="20"/>
  <c r="C141" i="13"/>
  <c r="G130" i="45"/>
  <c r="C131" i="3"/>
  <c r="G128" i="3"/>
  <c r="E122" i="3"/>
  <c r="E68" i="3"/>
  <c r="G43" i="10"/>
  <c r="E241" i="13"/>
  <c r="E219" i="13"/>
  <c r="E102" i="13"/>
  <c r="E106" i="13"/>
  <c r="E112" i="13"/>
  <c r="E55" i="13"/>
  <c r="C214" i="13"/>
  <c r="C143" i="13"/>
  <c r="G161" i="36"/>
  <c r="E146" i="16"/>
  <c r="E141" i="16"/>
  <c r="G199" i="16"/>
  <c r="G69" i="7"/>
  <c r="C13" i="36"/>
  <c r="C52" i="36"/>
  <c r="C17" i="36"/>
  <c r="C221" i="16"/>
  <c r="C27" i="16"/>
  <c r="C180" i="16"/>
  <c r="C23" i="16"/>
  <c r="C202" i="16"/>
  <c r="C25" i="16"/>
  <c r="C42" i="3"/>
  <c r="C72" i="3"/>
  <c r="E243" i="13"/>
  <c r="E72" i="3"/>
  <c r="G76" i="45"/>
  <c r="E79" i="45"/>
  <c r="C79" i="45"/>
  <c r="C13" i="45"/>
  <c r="C243" i="13"/>
  <c r="C217" i="13"/>
  <c r="G301" i="45"/>
  <c r="G296" i="45"/>
  <c r="G279" i="45"/>
  <c r="G278" i="45"/>
  <c r="C276" i="45"/>
  <c r="C282" i="45"/>
  <c r="C29" i="45"/>
  <c r="E276" i="45"/>
  <c r="E282" i="45"/>
  <c r="E29" i="45"/>
  <c r="G257" i="45"/>
  <c r="C254" i="45"/>
  <c r="C260" i="45"/>
  <c r="G251" i="45"/>
  <c r="G250" i="45"/>
  <c r="G249" i="45"/>
  <c r="G248" i="45"/>
  <c r="G247" i="45"/>
  <c r="G246" i="45"/>
  <c r="G244" i="45"/>
  <c r="G29" i="45"/>
  <c r="C303" i="45"/>
  <c r="C31" i="45"/>
  <c r="E303" i="45"/>
  <c r="E31" i="45"/>
  <c r="G298" i="45"/>
  <c r="G282" i="45"/>
  <c r="E254" i="45"/>
  <c r="E260" i="45"/>
  <c r="G300" i="45"/>
  <c r="G273" i="45"/>
  <c r="G245" i="45"/>
  <c r="G254" i="45"/>
  <c r="G260" i="45"/>
  <c r="C27" i="45"/>
  <c r="G276" i="45"/>
  <c r="G297" i="45"/>
  <c r="G299" i="45"/>
  <c r="C190" i="13"/>
  <c r="C196" i="13"/>
  <c r="G31" i="45"/>
  <c r="G303" i="45"/>
  <c r="E27" i="45"/>
  <c r="G27" i="45"/>
  <c r="C51" i="7"/>
  <c r="C11" i="7"/>
  <c r="C43" i="2"/>
  <c r="C143" i="36"/>
  <c r="C136" i="36"/>
  <c r="C70" i="36"/>
  <c r="C94" i="16"/>
  <c r="C72" i="16"/>
  <c r="C52" i="16"/>
  <c r="C50" i="16"/>
  <c r="C224" i="45"/>
  <c r="C229" i="45"/>
  <c r="C25" i="45"/>
  <c r="C182" i="45"/>
  <c r="C160" i="45"/>
  <c r="C96" i="45"/>
  <c r="C259" i="7"/>
  <c r="C231" i="7"/>
  <c r="C204" i="7"/>
  <c r="C203" i="7"/>
  <c r="C182" i="7"/>
  <c r="C186" i="7"/>
  <c r="C180" i="7"/>
  <c r="C126" i="7"/>
  <c r="C101" i="7"/>
  <c r="C72" i="7"/>
  <c r="C132" i="43"/>
  <c r="C130" i="43"/>
  <c r="C51" i="43"/>
  <c r="C45" i="43"/>
  <c r="C198" i="10"/>
  <c r="C178" i="10"/>
  <c r="C172" i="10"/>
  <c r="C171" i="10"/>
  <c r="C170" i="10"/>
  <c r="C149" i="10"/>
  <c r="C155" i="10"/>
  <c r="C20" i="10"/>
  <c r="C127" i="10"/>
  <c r="C132" i="10"/>
  <c r="C18" i="10"/>
  <c r="C103" i="10"/>
  <c r="C111" i="10"/>
  <c r="C71" i="10"/>
  <c r="C12" i="10"/>
  <c r="C51" i="10"/>
  <c r="C49" i="10"/>
  <c r="C45" i="29"/>
  <c r="C35" i="29"/>
  <c r="C38" i="29"/>
  <c r="C16" i="10"/>
  <c r="C106" i="10"/>
  <c r="C207" i="7"/>
  <c r="C174" i="10"/>
  <c r="C136" i="43"/>
  <c r="C19" i="43"/>
  <c r="C126" i="45"/>
  <c r="C55" i="45"/>
  <c r="C103" i="45"/>
  <c r="E35" i="20"/>
  <c r="E178" i="10"/>
  <c r="G176" i="10"/>
  <c r="C181" i="10"/>
  <c r="C22" i="10"/>
  <c r="E171" i="10"/>
  <c r="E55" i="45"/>
  <c r="G122" i="45"/>
  <c r="E126" i="45"/>
  <c r="E96" i="45"/>
  <c r="G94" i="45"/>
  <c r="G52" i="45"/>
  <c r="G124" i="45"/>
  <c r="G58" i="45"/>
  <c r="G59" i="45"/>
  <c r="E51" i="43"/>
  <c r="G42" i="29"/>
  <c r="E182" i="7"/>
  <c r="E139" i="16"/>
  <c r="G136" i="45"/>
  <c r="G169" i="10"/>
  <c r="G200" i="10"/>
  <c r="G196" i="10"/>
  <c r="G195" i="10"/>
  <c r="G170" i="10"/>
  <c r="E198" i="10"/>
  <c r="E203" i="10"/>
  <c r="E24" i="10"/>
  <c r="C203" i="10"/>
  <c r="G198" i="10"/>
  <c r="G203" i="10"/>
  <c r="C24" i="10"/>
  <c r="G24" i="10"/>
  <c r="G222" i="45"/>
  <c r="E136" i="36"/>
  <c r="G134" i="36"/>
  <c r="G48" i="16"/>
  <c r="G70" i="7"/>
  <c r="G14" i="18"/>
  <c r="C115" i="36"/>
  <c r="C15" i="36"/>
  <c r="G90" i="36"/>
  <c r="G39" i="2"/>
  <c r="C249" i="13"/>
  <c r="G241" i="13"/>
  <c r="G215" i="13"/>
  <c r="E224" i="45"/>
  <c r="E130" i="43"/>
  <c r="G99" i="7"/>
  <c r="G178" i="7"/>
  <c r="E49" i="10"/>
  <c r="G47" i="10"/>
  <c r="C124" i="16"/>
  <c r="C17" i="16"/>
  <c r="E229" i="45"/>
  <c r="E249" i="13"/>
  <c r="G34" i="2"/>
  <c r="G35" i="2"/>
  <c r="G221" i="45"/>
  <c r="G200" i="45"/>
  <c r="G157" i="45"/>
  <c r="G123" i="45"/>
  <c r="G121" i="45"/>
  <c r="G129" i="45"/>
  <c r="G89" i="36"/>
  <c r="G246" i="13"/>
  <c r="G75" i="7"/>
  <c r="G133" i="43"/>
  <c r="G41" i="29"/>
  <c r="G26" i="2"/>
  <c r="G27" i="2"/>
  <c r="G173" i="16"/>
  <c r="E180" i="16"/>
  <c r="G65" i="36"/>
  <c r="E103" i="45"/>
  <c r="G22" i="2"/>
  <c r="G86" i="10"/>
  <c r="G40" i="29"/>
  <c r="G137" i="45"/>
  <c r="C140" i="45"/>
  <c r="E140" i="45"/>
  <c r="G153" i="7"/>
  <c r="G146" i="16"/>
  <c r="C144" i="16"/>
  <c r="G45" i="3"/>
  <c r="G75" i="3"/>
  <c r="C149" i="16"/>
  <c r="C19" i="16"/>
  <c r="G32" i="2"/>
  <c r="E43" i="2"/>
  <c r="G159" i="36"/>
  <c r="G139" i="36"/>
  <c r="G140" i="36"/>
  <c r="G138" i="36"/>
  <c r="E143" i="36"/>
  <c r="G130" i="36"/>
  <c r="G131" i="36"/>
  <c r="G132" i="36"/>
  <c r="G133" i="36"/>
  <c r="G88" i="36"/>
  <c r="G217" i="16"/>
  <c r="G194" i="16"/>
  <c r="G195" i="16"/>
  <c r="G197" i="16"/>
  <c r="G193" i="16"/>
  <c r="G176" i="16"/>
  <c r="G177" i="16"/>
  <c r="G174" i="16"/>
  <c r="G160" i="16"/>
  <c r="G159" i="16"/>
  <c r="G140" i="16"/>
  <c r="G141" i="16"/>
  <c r="G138" i="16"/>
  <c r="G121" i="16"/>
  <c r="G120" i="16"/>
  <c r="G113" i="16"/>
  <c r="G96" i="16"/>
  <c r="G88" i="16"/>
  <c r="G89" i="16"/>
  <c r="G90" i="16"/>
  <c r="G87" i="16"/>
  <c r="G68" i="16"/>
  <c r="G69" i="16"/>
  <c r="C222" i="13"/>
  <c r="G219" i="13"/>
  <c r="G212" i="13"/>
  <c r="G214" i="13"/>
  <c r="G186" i="13"/>
  <c r="G187" i="13"/>
  <c r="G160" i="13"/>
  <c r="G161" i="13"/>
  <c r="G159" i="13"/>
  <c r="G240" i="13"/>
  <c r="G238" i="13"/>
  <c r="G259" i="13"/>
  <c r="G262" i="13"/>
  <c r="G141" i="13"/>
  <c r="G124" i="13"/>
  <c r="G109" i="13"/>
  <c r="G85" i="13"/>
  <c r="G80" i="13"/>
  <c r="G79" i="13"/>
  <c r="G61" i="13"/>
  <c r="G60" i="13"/>
  <c r="G55" i="13"/>
  <c r="G54" i="13"/>
  <c r="G226" i="45"/>
  <c r="G184" i="45"/>
  <c r="G179" i="45"/>
  <c r="G178" i="45"/>
  <c r="G162" i="45"/>
  <c r="G156" i="45"/>
  <c r="G143" i="36"/>
  <c r="G92" i="45"/>
  <c r="G106" i="43"/>
  <c r="G69" i="43"/>
  <c r="G72" i="43"/>
  <c r="G42" i="43"/>
  <c r="G38" i="43"/>
  <c r="G39" i="43"/>
  <c r="G88" i="43"/>
  <c r="G87" i="43"/>
  <c r="G92" i="43"/>
  <c r="E72" i="43"/>
  <c r="E15" i="43"/>
  <c r="C72" i="43"/>
  <c r="C15" i="43"/>
  <c r="G127" i="43"/>
  <c r="G36" i="20"/>
  <c r="G35" i="20"/>
  <c r="G34" i="20"/>
  <c r="G68" i="19"/>
  <c r="G67" i="19"/>
  <c r="G51" i="19"/>
  <c r="G12" i="18"/>
  <c r="G13" i="18"/>
  <c r="G252" i="7"/>
  <c r="G254" i="7"/>
  <c r="G210" i="7"/>
  <c r="G204" i="7"/>
  <c r="E186" i="7"/>
  <c r="G182" i="7"/>
  <c r="G176" i="7"/>
  <c r="G177" i="7"/>
  <c r="G154" i="7"/>
  <c r="G128" i="7"/>
  <c r="G122" i="7"/>
  <c r="G123" i="7"/>
  <c r="G96" i="7"/>
  <c r="G98" i="7"/>
  <c r="C79" i="7"/>
  <c r="G48" i="7"/>
  <c r="G177" i="10"/>
  <c r="G178" i="10"/>
  <c r="G152" i="10"/>
  <c r="G147" i="10"/>
  <c r="G146" i="10"/>
  <c r="G145" i="10"/>
  <c r="G129" i="10"/>
  <c r="G125" i="10"/>
  <c r="G124" i="10"/>
  <c r="G123" i="10"/>
  <c r="E127" i="10"/>
  <c r="G104" i="10"/>
  <c r="G103" i="10"/>
  <c r="G106" i="10"/>
  <c r="G68" i="10"/>
  <c r="G127" i="10"/>
  <c r="G111" i="10"/>
  <c r="G51" i="10"/>
  <c r="G44" i="10"/>
  <c r="G46" i="10"/>
  <c r="G127" i="3"/>
  <c r="G74" i="3"/>
  <c r="G46" i="3"/>
  <c r="G122" i="3"/>
  <c r="G121" i="3"/>
  <c r="G120" i="3"/>
  <c r="G119" i="3"/>
  <c r="G95" i="3"/>
  <c r="G70" i="3"/>
  <c r="G68" i="3"/>
  <c r="G44" i="3"/>
  <c r="G39" i="3"/>
  <c r="G38" i="3"/>
  <c r="G239" i="13"/>
  <c r="E21" i="13"/>
  <c r="G129" i="36"/>
  <c r="G110" i="36"/>
  <c r="G119" i="7"/>
  <c r="G237" i="13"/>
  <c r="G217" i="45"/>
  <c r="G172" i="7"/>
  <c r="G250" i="7"/>
  <c r="G42" i="10"/>
  <c r="G31" i="29"/>
  <c r="G35" i="3"/>
  <c r="G67" i="3"/>
  <c r="G95" i="7"/>
  <c r="G119" i="45"/>
  <c r="G120" i="7"/>
  <c r="G66" i="7"/>
  <c r="G145" i="7"/>
  <c r="G175" i="7"/>
  <c r="G144" i="7"/>
  <c r="G173" i="7"/>
  <c r="G121" i="7"/>
  <c r="G67" i="7"/>
  <c r="G126" i="43"/>
  <c r="G69" i="3"/>
  <c r="G37" i="3"/>
  <c r="C110" i="43"/>
  <c r="C17" i="43"/>
  <c r="G261" i="7"/>
  <c r="G253" i="7"/>
  <c r="C49" i="3"/>
  <c r="E13" i="36"/>
  <c r="G33" i="29"/>
  <c r="G35" i="29"/>
  <c r="E125" i="3"/>
  <c r="G57" i="45"/>
  <c r="G251" i="7"/>
  <c r="G15" i="18"/>
  <c r="G16" i="18"/>
  <c r="G45" i="10"/>
  <c r="G68" i="7"/>
  <c r="G120" i="45"/>
  <c r="G100" i="45"/>
  <c r="E172" i="10"/>
  <c r="E99" i="3"/>
  <c r="G50" i="45"/>
  <c r="G228" i="7"/>
  <c r="G227" i="7"/>
  <c r="G226" i="7"/>
  <c r="G203" i="7"/>
  <c r="G146" i="7"/>
  <c r="G103" i="7"/>
  <c r="G97" i="7"/>
  <c r="G36" i="3"/>
  <c r="G40" i="43"/>
  <c r="C71" i="19"/>
  <c r="C15" i="19"/>
  <c r="E71" i="19"/>
  <c r="E15" i="19"/>
  <c r="C99" i="16"/>
  <c r="C15" i="16"/>
  <c r="C25" i="13"/>
  <c r="G32" i="29"/>
  <c r="G34" i="29"/>
  <c r="E143" i="13"/>
  <c r="G111" i="36"/>
  <c r="G112" i="36"/>
  <c r="G47" i="36"/>
  <c r="G128" i="45"/>
  <c r="G76" i="7"/>
  <c r="G72" i="36"/>
  <c r="G41" i="43"/>
  <c r="C17" i="3"/>
  <c r="G93" i="45"/>
  <c r="G96" i="45"/>
  <c r="G51" i="45"/>
  <c r="G218" i="45"/>
  <c r="G220" i="45"/>
  <c r="G49" i="43"/>
  <c r="E132" i="43"/>
  <c r="C146" i="13"/>
  <c r="G131" i="45"/>
  <c r="G132" i="45"/>
  <c r="G133" i="45"/>
  <c r="G134" i="45"/>
  <c r="G135" i="45"/>
  <c r="G98" i="45"/>
  <c r="G245" i="13"/>
  <c r="C39" i="20"/>
  <c r="C23" i="2"/>
  <c r="C19" i="20"/>
  <c r="C54" i="19"/>
  <c r="C13" i="19"/>
  <c r="C37" i="19"/>
  <c r="C11" i="19"/>
  <c r="C18" i="18"/>
  <c r="C164" i="36"/>
  <c r="C146" i="36"/>
  <c r="C19" i="36"/>
  <c r="C163" i="16"/>
  <c r="C21" i="16"/>
  <c r="C77" i="16"/>
  <c r="C13" i="16"/>
  <c r="C262" i="13"/>
  <c r="C29" i="13"/>
  <c r="C112" i="13"/>
  <c r="G112" i="13"/>
  <c r="C83" i="13"/>
  <c r="C58" i="13"/>
  <c r="C65" i="13"/>
  <c r="C89" i="10"/>
  <c r="C14" i="10"/>
  <c r="C54" i="10"/>
  <c r="C10" i="10"/>
  <c r="C199" i="45"/>
  <c r="C106" i="45"/>
  <c r="C15" i="45"/>
  <c r="C62" i="45"/>
  <c r="C11" i="45"/>
  <c r="C156" i="7"/>
  <c r="C82" i="7"/>
  <c r="C13" i="7"/>
  <c r="C13" i="43"/>
  <c r="C15" i="3"/>
  <c r="C78" i="3"/>
  <c r="E262" i="13"/>
  <c r="E29" i="13"/>
  <c r="E132" i="10"/>
  <c r="E18" i="10"/>
  <c r="E89" i="10"/>
  <c r="E14" i="10"/>
  <c r="G38" i="2"/>
  <c r="G48" i="2"/>
  <c r="E182" i="45"/>
  <c r="E187" i="45"/>
  <c r="E21" i="45"/>
  <c r="G11" i="20"/>
  <c r="G45" i="2"/>
  <c r="E19" i="20"/>
  <c r="E164" i="36"/>
  <c r="E21" i="36"/>
  <c r="E149" i="10"/>
  <c r="G163" i="16"/>
  <c r="G94" i="16"/>
  <c r="E13" i="43"/>
  <c r="E39" i="20"/>
  <c r="E23" i="2"/>
  <c r="E54" i="19"/>
  <c r="E13" i="19"/>
  <c r="E58" i="13"/>
  <c r="E65" i="13"/>
  <c r="E83" i="13"/>
  <c r="E88" i="13"/>
  <c r="E163" i="16"/>
  <c r="E21" i="16"/>
  <c r="E160" i="45"/>
  <c r="E165" i="45"/>
  <c r="G33" i="2"/>
  <c r="C55" i="16"/>
  <c r="C11" i="16"/>
  <c r="C28" i="10"/>
  <c r="G21" i="16"/>
  <c r="E155" i="10"/>
  <c r="E20" i="10"/>
  <c r="G132" i="43"/>
  <c r="E136" i="43"/>
  <c r="E131" i="3"/>
  <c r="E17" i="3"/>
  <c r="G17" i="3"/>
  <c r="G126" i="45"/>
  <c r="E24" i="2"/>
  <c r="C203" i="45"/>
  <c r="C23" i="45"/>
  <c r="E203" i="45"/>
  <c r="E23" i="45"/>
  <c r="E52" i="36"/>
  <c r="G45" i="43"/>
  <c r="G256" i="7"/>
  <c r="G172" i="10"/>
  <c r="G233" i="7"/>
  <c r="G255" i="7"/>
  <c r="G174" i="7"/>
  <c r="G25" i="2"/>
  <c r="G101" i="3"/>
  <c r="G125" i="3"/>
  <c r="G143" i="13"/>
  <c r="G114" i="16"/>
  <c r="G44" i="16"/>
  <c r="G218" i="16"/>
  <c r="G67" i="16"/>
  <c r="G72" i="16"/>
  <c r="G77" i="16"/>
  <c r="G47" i="16"/>
  <c r="G216" i="16"/>
  <c r="G45" i="16"/>
  <c r="G112" i="16"/>
  <c r="G139" i="16"/>
  <c r="E144" i="16"/>
  <c r="G46" i="16"/>
  <c r="G66" i="36"/>
  <c r="G48" i="36"/>
  <c r="G164" i="36"/>
  <c r="G184" i="13"/>
  <c r="G213" i="13"/>
  <c r="G192" i="13"/>
  <c r="G185" i="13"/>
  <c r="G44" i="7"/>
  <c r="G46" i="7"/>
  <c r="G45" i="7"/>
  <c r="G47" i="7"/>
  <c r="G13" i="36"/>
  <c r="G99" i="36"/>
  <c r="E115" i="36"/>
  <c r="E15" i="36"/>
  <c r="G67" i="36"/>
  <c r="E202" i="16"/>
  <c r="E25" i="16"/>
  <c r="G198" i="16"/>
  <c r="G202" i="16"/>
  <c r="E23" i="16"/>
  <c r="G23" i="16"/>
  <c r="G175" i="16"/>
  <c r="G180" i="16"/>
  <c r="E94" i="16"/>
  <c r="E99" i="16"/>
  <c r="E15" i="16"/>
  <c r="G91" i="16"/>
  <c r="E72" i="16"/>
  <c r="G52" i="16"/>
  <c r="E124" i="16"/>
  <c r="G211" i="13"/>
  <c r="E217" i="13"/>
  <c r="E222" i="13"/>
  <c r="C23" i="13"/>
  <c r="C21" i="13"/>
  <c r="G21" i="13"/>
  <c r="E146" i="13"/>
  <c r="E19" i="13"/>
  <c r="G19" i="13"/>
  <c r="E190" i="13"/>
  <c r="E196" i="13"/>
  <c r="C15" i="13"/>
  <c r="G102" i="13"/>
  <c r="G126" i="13"/>
  <c r="C88" i="13"/>
  <c r="C13" i="13"/>
  <c r="G83" i="13"/>
  <c r="E13" i="13"/>
  <c r="C11" i="13"/>
  <c r="G58" i="13"/>
  <c r="E17" i="13"/>
  <c r="G199" i="45"/>
  <c r="G203" i="45"/>
  <c r="C187" i="45"/>
  <c r="G182" i="45"/>
  <c r="G187" i="45"/>
  <c r="C165" i="45"/>
  <c r="G160" i="45"/>
  <c r="E19" i="45"/>
  <c r="E25" i="45"/>
  <c r="G99" i="45"/>
  <c r="G103" i="45"/>
  <c r="E106" i="45"/>
  <c r="E15" i="45"/>
  <c r="E13" i="45"/>
  <c r="G13" i="45"/>
  <c r="G75" i="45"/>
  <c r="G79" i="45"/>
  <c r="G55" i="45"/>
  <c r="C143" i="45"/>
  <c r="C17" i="45"/>
  <c r="G29" i="13"/>
  <c r="G72" i="3"/>
  <c r="E70" i="36"/>
  <c r="E45" i="29"/>
  <c r="G45" i="29"/>
  <c r="E50" i="16"/>
  <c r="G96" i="3"/>
  <c r="G99" i="3"/>
  <c r="E62" i="45"/>
  <c r="G219" i="45"/>
  <c r="G224" i="45"/>
  <c r="G229" i="45"/>
  <c r="G46" i="36"/>
  <c r="G43" i="2"/>
  <c r="E221" i="16"/>
  <c r="E110" i="43"/>
  <c r="E17" i="43"/>
  <c r="G107" i="43"/>
  <c r="G13" i="43"/>
  <c r="G124" i="43"/>
  <c r="C54" i="43"/>
  <c r="C11" i="43"/>
  <c r="C24" i="43"/>
  <c r="G15" i="43"/>
  <c r="G48" i="43"/>
  <c r="G125" i="43"/>
  <c r="E45" i="43"/>
  <c r="G21" i="36"/>
  <c r="C75" i="36"/>
  <c r="C11" i="36"/>
  <c r="G49" i="36"/>
  <c r="C24" i="2"/>
  <c r="G39" i="20"/>
  <c r="G19" i="20"/>
  <c r="G71" i="19"/>
  <c r="E37" i="19"/>
  <c r="E11" i="19"/>
  <c r="G34" i="19"/>
  <c r="G37" i="19"/>
  <c r="G13" i="19"/>
  <c r="G23" i="2"/>
  <c r="G11" i="18"/>
  <c r="E18" i="18"/>
  <c r="C16" i="2"/>
  <c r="C264" i="7"/>
  <c r="C27" i="7"/>
  <c r="C236" i="7"/>
  <c r="C25" i="7"/>
  <c r="C213" i="7"/>
  <c r="C23" i="7"/>
  <c r="G186" i="7"/>
  <c r="G156" i="7"/>
  <c r="G151" i="7"/>
  <c r="C131" i="7"/>
  <c r="C17" i="7"/>
  <c r="C106" i="7"/>
  <c r="C15" i="7"/>
  <c r="G65" i="7"/>
  <c r="E72" i="7"/>
  <c r="G72" i="7"/>
  <c r="G74" i="7"/>
  <c r="E79" i="7"/>
  <c r="G79" i="7"/>
  <c r="C159" i="7"/>
  <c r="C19" i="7"/>
  <c r="E231" i="7"/>
  <c r="E236" i="7"/>
  <c r="E25" i="7"/>
  <c r="G171" i="10"/>
  <c r="E174" i="10"/>
  <c r="E101" i="7"/>
  <c r="E106" i="7"/>
  <c r="E15" i="7"/>
  <c r="E126" i="7"/>
  <c r="E131" i="7"/>
  <c r="E17" i="7"/>
  <c r="E207" i="7"/>
  <c r="E213" i="7"/>
  <c r="E23" i="7"/>
  <c r="C189" i="7"/>
  <c r="C21" i="7"/>
  <c r="E259" i="7"/>
  <c r="E264" i="7"/>
  <c r="E180" i="7"/>
  <c r="E189" i="7"/>
  <c r="E21" i="7"/>
  <c r="E51" i="7"/>
  <c r="E11" i="7"/>
  <c r="G155" i="10"/>
  <c r="G149" i="10"/>
  <c r="G14" i="10"/>
  <c r="G89" i="10"/>
  <c r="G49" i="10"/>
  <c r="E54" i="10"/>
  <c r="E71" i="10"/>
  <c r="E12" i="10"/>
  <c r="E16" i="10"/>
  <c r="G132" i="10"/>
  <c r="E38" i="29"/>
  <c r="G38" i="29"/>
  <c r="C48" i="29"/>
  <c r="G78" i="3"/>
  <c r="C52" i="3"/>
  <c r="C11" i="3"/>
  <c r="C81" i="3"/>
  <c r="E78" i="3"/>
  <c r="E81" i="3"/>
  <c r="E104" i="3"/>
  <c r="E15" i="3"/>
  <c r="G15" i="3"/>
  <c r="E42" i="3"/>
  <c r="G42" i="3"/>
  <c r="E49" i="3"/>
  <c r="G49" i="3"/>
  <c r="G131" i="3"/>
  <c r="G23" i="45"/>
  <c r="G118" i="16"/>
  <c r="G124" i="16"/>
  <c r="G165" i="45"/>
  <c r="C19" i="45"/>
  <c r="G19" i="45"/>
  <c r="G130" i="43"/>
  <c r="G81" i="3"/>
  <c r="E181" i="10"/>
  <c r="E22" i="10"/>
  <c r="C21" i="45"/>
  <c r="G15" i="19"/>
  <c r="E18" i="19"/>
  <c r="E17" i="2"/>
  <c r="G221" i="16"/>
  <c r="E27" i="7"/>
  <c r="G20" i="10"/>
  <c r="G25" i="16"/>
  <c r="G15" i="16"/>
  <c r="G24" i="2"/>
  <c r="G15" i="45"/>
  <c r="G18" i="18"/>
  <c r="G243" i="13"/>
  <c r="G217" i="13"/>
  <c r="G222" i="13"/>
  <c r="E77" i="16"/>
  <c r="E149" i="16"/>
  <c r="E19" i="16"/>
  <c r="G19" i="16"/>
  <c r="G144" i="16"/>
  <c r="G149" i="16"/>
  <c r="G52" i="36"/>
  <c r="E146" i="36"/>
  <c r="E19" i="36"/>
  <c r="G15" i="36"/>
  <c r="E75" i="36"/>
  <c r="E11" i="36"/>
  <c r="G115" i="36"/>
  <c r="G136" i="36"/>
  <c r="E17" i="36"/>
  <c r="G17" i="36"/>
  <c r="G99" i="16"/>
  <c r="G190" i="13"/>
  <c r="G146" i="13"/>
  <c r="C27" i="13"/>
  <c r="C32" i="13"/>
  <c r="G13" i="13"/>
  <c r="G131" i="13"/>
  <c r="G88" i="13"/>
  <c r="G106" i="13"/>
  <c r="E11" i="13"/>
  <c r="G11" i="13"/>
  <c r="G65" i="13"/>
  <c r="G17" i="13"/>
  <c r="G140" i="45"/>
  <c r="G143" i="45"/>
  <c r="E143" i="45"/>
  <c r="E17" i="45"/>
  <c r="G106" i="45"/>
  <c r="G50" i="16"/>
  <c r="G55" i="16"/>
  <c r="G104" i="3"/>
  <c r="E27" i="16"/>
  <c r="G27" i="16"/>
  <c r="E55" i="16"/>
  <c r="G70" i="36"/>
  <c r="G75" i="36"/>
  <c r="G110" i="43"/>
  <c r="G17" i="43"/>
  <c r="G51" i="43"/>
  <c r="E19" i="43"/>
  <c r="G19" i="43"/>
  <c r="G136" i="43"/>
  <c r="E54" i="43"/>
  <c r="G54" i="43"/>
  <c r="C24" i="36"/>
  <c r="C18" i="19"/>
  <c r="G11" i="19"/>
  <c r="G25" i="45"/>
  <c r="E16" i="2"/>
  <c r="G259" i="7"/>
  <c r="G264" i="7"/>
  <c r="G231" i="7"/>
  <c r="G25" i="7"/>
  <c r="G236" i="7"/>
  <c r="G207" i="7"/>
  <c r="G23" i="7"/>
  <c r="G213" i="7"/>
  <c r="G180" i="7"/>
  <c r="G21" i="7"/>
  <c r="G189" i="7"/>
  <c r="E159" i="7"/>
  <c r="E19" i="7"/>
  <c r="G19" i="7"/>
  <c r="G149" i="7"/>
  <c r="G126" i="7"/>
  <c r="G131" i="7"/>
  <c r="G17" i="7"/>
  <c r="G15" i="7"/>
  <c r="G106" i="7"/>
  <c r="G101" i="7"/>
  <c r="E82" i="7"/>
  <c r="E13" i="7"/>
  <c r="G11" i="7"/>
  <c r="G51" i="7"/>
  <c r="G174" i="10"/>
  <c r="G12" i="10"/>
  <c r="G71" i="10"/>
  <c r="E10" i="10"/>
  <c r="G54" i="10"/>
  <c r="G16" i="10"/>
  <c r="G18" i="10"/>
  <c r="E48" i="29"/>
  <c r="E11" i="29"/>
  <c r="E14" i="29"/>
  <c r="C11" i="29"/>
  <c r="C13" i="3"/>
  <c r="E13" i="3"/>
  <c r="E52" i="3"/>
  <c r="G181" i="10"/>
  <c r="E8" i="2"/>
  <c r="C36" i="45"/>
  <c r="E28" i="10"/>
  <c r="G21" i="45"/>
  <c r="G17" i="45"/>
  <c r="C17" i="2"/>
  <c r="G27" i="7"/>
  <c r="E11" i="3"/>
  <c r="E20" i="3"/>
  <c r="E30" i="7"/>
  <c r="E11" i="2"/>
  <c r="E27" i="13"/>
  <c r="G27" i="13"/>
  <c r="G146" i="36"/>
  <c r="G16" i="2"/>
  <c r="E17" i="16"/>
  <c r="G17" i="16"/>
  <c r="E13" i="16"/>
  <c r="G13" i="16"/>
  <c r="C20" i="3"/>
  <c r="C7" i="2"/>
  <c r="G19" i="36"/>
  <c r="G11" i="36"/>
  <c r="E23" i="13"/>
  <c r="G196" i="13"/>
  <c r="E25" i="13"/>
  <c r="G25" i="13"/>
  <c r="C13" i="2"/>
  <c r="G249" i="13"/>
  <c r="E15" i="13"/>
  <c r="E11" i="45"/>
  <c r="E36" i="45"/>
  <c r="G62" i="45"/>
  <c r="G13" i="3"/>
  <c r="C15" i="2"/>
  <c r="E11" i="16"/>
  <c r="G11" i="16"/>
  <c r="C10" i="2"/>
  <c r="E11" i="43"/>
  <c r="E24" i="43"/>
  <c r="G18" i="19"/>
  <c r="C30" i="16"/>
  <c r="G159" i="7"/>
  <c r="C30" i="7"/>
  <c r="C11" i="2"/>
  <c r="G82" i="7"/>
  <c r="G13" i="7"/>
  <c r="G22" i="10"/>
  <c r="G10" i="10"/>
  <c r="C14" i="29"/>
  <c r="G11" i="29"/>
  <c r="G48" i="29"/>
  <c r="G52" i="3"/>
  <c r="E9" i="2"/>
  <c r="E12" i="2"/>
  <c r="G36" i="45"/>
  <c r="C12" i="2"/>
  <c r="G17" i="2"/>
  <c r="G15" i="13"/>
  <c r="E32" i="13"/>
  <c r="G11" i="3"/>
  <c r="G23" i="13"/>
  <c r="G11" i="2"/>
  <c r="E24" i="36"/>
  <c r="E15" i="2"/>
  <c r="E30" i="16"/>
  <c r="G11" i="45"/>
  <c r="G11" i="43"/>
  <c r="G24" i="43"/>
  <c r="C14" i="2"/>
  <c r="G30" i="7"/>
  <c r="G28" i="10"/>
  <c r="G14" i="29"/>
  <c r="C8" i="2"/>
  <c r="E7" i="2"/>
  <c r="G20" i="3"/>
  <c r="E13" i="2"/>
  <c r="G32" i="13"/>
  <c r="E14" i="2"/>
  <c r="G30" i="16"/>
  <c r="G15" i="2"/>
  <c r="G24" i="36"/>
  <c r="E10" i="2"/>
  <c r="C9" i="2"/>
  <c r="G8" i="2"/>
  <c r="G7" i="2"/>
  <c r="G13" i="2"/>
  <c r="G14" i="2"/>
  <c r="G9" i="2"/>
  <c r="C19" i="2"/>
  <c r="C29" i="2"/>
  <c r="E19" i="2"/>
  <c r="G12" i="2"/>
  <c r="G10" i="2"/>
  <c r="G19" i="2"/>
  <c r="E29" i="2"/>
  <c r="G29" i="2"/>
</calcChain>
</file>

<file path=xl/sharedStrings.xml><?xml version="1.0" encoding="utf-8"?>
<sst xmlns="http://schemas.openxmlformats.org/spreadsheetml/2006/main" count="1633" uniqueCount="225">
  <si>
    <t>£</t>
  </si>
  <si>
    <t xml:space="preserve"> </t>
  </si>
  <si>
    <t>TOTAL SERVICE COSTS</t>
  </si>
  <si>
    <t>CCTV</t>
  </si>
  <si>
    <t>Building Control</t>
  </si>
  <si>
    <t>Cleansing Services</t>
  </si>
  <si>
    <t>Employee Expenses</t>
  </si>
  <si>
    <t>Total Direct Costs</t>
  </si>
  <si>
    <t>Community Safety</t>
  </si>
  <si>
    <t>Voluntary Sector Grant Aid</t>
  </si>
  <si>
    <t>Local Development Scheme</t>
  </si>
  <si>
    <t>Sports Development</t>
  </si>
  <si>
    <t>Economic Development</t>
  </si>
  <si>
    <t>Housing Services</t>
  </si>
  <si>
    <t>Waste Services</t>
  </si>
  <si>
    <t>Executive Directors</t>
  </si>
  <si>
    <t>Emergency Planning</t>
  </si>
  <si>
    <t>Legal &amp; Democratic Services</t>
  </si>
  <si>
    <t>Human Resources &amp; Customer Services</t>
  </si>
  <si>
    <t>Investment Income</t>
  </si>
  <si>
    <t>Street Scene Services</t>
  </si>
  <si>
    <t>Finance &amp; Business Services</t>
  </si>
  <si>
    <t>Environmental Health</t>
  </si>
  <si>
    <t>Planning &amp; Economic Development</t>
  </si>
  <si>
    <t>Premises</t>
  </si>
  <si>
    <t>Transport</t>
  </si>
  <si>
    <t>Income</t>
  </si>
  <si>
    <t>Funding</t>
  </si>
  <si>
    <t>Fav/(Adv)</t>
  </si>
  <si>
    <t>Bank Charges</t>
  </si>
  <si>
    <t>Assurance Services</t>
  </si>
  <si>
    <t>Partnerships &amp; Community Engagement</t>
  </si>
  <si>
    <t>Central Contingency</t>
  </si>
  <si>
    <t xml:space="preserve">Audit Fees &amp; Bank Charges </t>
  </si>
  <si>
    <t>General Expenses</t>
  </si>
  <si>
    <t>Apprenticeship Levy</t>
  </si>
  <si>
    <t>Minimum Revenue Provision (MRP)</t>
  </si>
  <si>
    <t>NNDR Baseline Grant</t>
  </si>
  <si>
    <t>New Homes Bonus</t>
  </si>
  <si>
    <t>NNDR Growth Income</t>
  </si>
  <si>
    <t>Draft</t>
  </si>
  <si>
    <t>Variance</t>
  </si>
  <si>
    <t>Budget</t>
  </si>
  <si>
    <t>General Fund Budget Summary</t>
  </si>
  <si>
    <t>Net Service Expenditure</t>
  </si>
  <si>
    <t>Corporate Expenditure</t>
  </si>
  <si>
    <t>Total Net Requirement Before</t>
  </si>
  <si>
    <t>Government Grants</t>
  </si>
  <si>
    <t>Total of Government Grants</t>
  </si>
  <si>
    <t xml:space="preserve">Council Tax Requirement </t>
  </si>
  <si>
    <t>Revenue Support Grant (RSG)</t>
  </si>
  <si>
    <t>Parking Services</t>
  </si>
  <si>
    <t>Strategic Planning</t>
  </si>
  <si>
    <t>Development Management</t>
  </si>
  <si>
    <t>Summary</t>
  </si>
  <si>
    <t>Total Service Cost</t>
  </si>
  <si>
    <t>Supplies and Services</t>
  </si>
  <si>
    <t>Third Party Payments</t>
  </si>
  <si>
    <t>Total Income</t>
  </si>
  <si>
    <t>Reserve Funding</t>
  </si>
  <si>
    <t>Homelessness Costs</t>
  </si>
  <si>
    <t>Housing Income</t>
  </si>
  <si>
    <t>Homelessness Income</t>
  </si>
  <si>
    <t>Partnerships &amp; Community Engagement Unit</t>
  </si>
  <si>
    <t>Corporate Communications</t>
  </si>
  <si>
    <t>Community Development</t>
  </si>
  <si>
    <t>Partnerships &amp; Com Engagement Unit</t>
  </si>
  <si>
    <t>Total Direct Cost</t>
  </si>
  <si>
    <t>Police Community Support Officers (PCSO)</t>
  </si>
  <si>
    <t>Funding from Parking Services</t>
  </si>
  <si>
    <t xml:space="preserve">Contribution to Replacement Reserve </t>
  </si>
  <si>
    <t>Ward Improvement Intitiative Scheme (WIIS)</t>
  </si>
  <si>
    <t>Grants to Local Organisations</t>
  </si>
  <si>
    <t>Core Funding Grants</t>
  </si>
  <si>
    <t>Grant Aid to Citizen Advice</t>
  </si>
  <si>
    <t>Depot &amp; Administration</t>
  </si>
  <si>
    <t>Trade Services</t>
  </si>
  <si>
    <t>Parks Operations</t>
  </si>
  <si>
    <t>Parks Development &amp; Trees</t>
  </si>
  <si>
    <t>Allotments</t>
  </si>
  <si>
    <t>Allum Lane Cemetery</t>
  </si>
  <si>
    <t>Premises &amp; Related</t>
  </si>
  <si>
    <t xml:space="preserve">Transport </t>
  </si>
  <si>
    <t>Premises and Related</t>
  </si>
  <si>
    <t xml:space="preserve">HCC Grants </t>
  </si>
  <si>
    <t>HCC Contribution</t>
  </si>
  <si>
    <t>Grants</t>
  </si>
  <si>
    <t>Contributions to Other Services</t>
  </si>
  <si>
    <t>Shared Internal Audit Service (SIAS)</t>
  </si>
  <si>
    <t>Risk Management</t>
  </si>
  <si>
    <t>Shared Anti Fraud Service (SAFS)</t>
  </si>
  <si>
    <t>Supplies &amp; Serivices</t>
  </si>
  <si>
    <t>Audit Fees &amp; Bank Charges</t>
  </si>
  <si>
    <t>External Audit Fees</t>
  </si>
  <si>
    <t>Reserve Funding - Housing Ben Audit</t>
  </si>
  <si>
    <t>Approved</t>
  </si>
  <si>
    <t>Miscellaneous Services</t>
  </si>
  <si>
    <t>Community Toilet Scheme</t>
  </si>
  <si>
    <t>Disabled Facilities Grants (DFGs)</t>
  </si>
  <si>
    <t>Environmental Health Unit</t>
  </si>
  <si>
    <t>Engineering Services</t>
  </si>
  <si>
    <t>Residual Highways Maintenance</t>
  </si>
  <si>
    <t>Drainage Services</t>
  </si>
  <si>
    <t>Engineering Services Unit</t>
  </si>
  <si>
    <t>Bus Shelter Maintenance</t>
  </si>
  <si>
    <t>Street Furniture</t>
  </si>
  <si>
    <t>Footway Lighting</t>
  </si>
  <si>
    <t>Street Nameplates/Notice Boards</t>
  </si>
  <si>
    <t>Traffic Management Schemes</t>
  </si>
  <si>
    <t>Town Centre Management</t>
  </si>
  <si>
    <t>Unadopted Roads/Footpaths</t>
  </si>
  <si>
    <t>Street Markets</t>
  </si>
  <si>
    <t>Borehamwood Street Market</t>
  </si>
  <si>
    <t>Asset Management</t>
  </si>
  <si>
    <t>Civic Offices</t>
  </si>
  <si>
    <t>Residual Residential Properties</t>
  </si>
  <si>
    <t>Commercial Properties</t>
  </si>
  <si>
    <t>Garages</t>
  </si>
  <si>
    <t>Leisure &amp; Community Buildings</t>
  </si>
  <si>
    <t>Building Maintenance Programme</t>
  </si>
  <si>
    <t>Asset Management Unit</t>
  </si>
  <si>
    <t>Depot Sites</t>
  </si>
  <si>
    <t>Commerical Properties</t>
  </si>
  <si>
    <t>Leisure Management Fee</t>
  </si>
  <si>
    <t>Income  - Oakmere Comm Centre</t>
  </si>
  <si>
    <t>Building Maintenace Programme</t>
  </si>
  <si>
    <t>Income - Asset Disposal</t>
  </si>
  <si>
    <t>NNDR Collection Costs</t>
  </si>
  <si>
    <t>Council Tax Collection</t>
  </si>
  <si>
    <t>Benefits Administration</t>
  </si>
  <si>
    <t>Rent Allowances</t>
  </si>
  <si>
    <t>Procurement</t>
  </si>
  <si>
    <t>Finance Unit</t>
  </si>
  <si>
    <t>Information &amp; Digital Services (IDS)</t>
  </si>
  <si>
    <t>Civic Office Telephones</t>
  </si>
  <si>
    <t>Income Court Costs</t>
  </si>
  <si>
    <t>Transfer Payment - Allowances Paid</t>
  </si>
  <si>
    <t>Local Land Charges</t>
  </si>
  <si>
    <t>Electoral Registration</t>
  </si>
  <si>
    <t>Local Elections</t>
  </si>
  <si>
    <t>Legal Services Unit</t>
  </si>
  <si>
    <t>Mayoral Budget (Civic Expenses)</t>
  </si>
  <si>
    <t>Surgeries</t>
  </si>
  <si>
    <t>Members Allowances</t>
  </si>
  <si>
    <t>Democratic Services Unit</t>
  </si>
  <si>
    <t>Members Costs/Meetings</t>
  </si>
  <si>
    <t xml:space="preserve">Transfer Payments </t>
  </si>
  <si>
    <t>Civic Dinner</t>
  </si>
  <si>
    <t>Civic Expenses</t>
  </si>
  <si>
    <t>Mayor &amp; Deputy Allowance</t>
  </si>
  <si>
    <t>Civic Transport</t>
  </si>
  <si>
    <t>Members Basic Allowance</t>
  </si>
  <si>
    <t>Special Responsibility Allowance</t>
  </si>
  <si>
    <t>Independent Remuneration Panel</t>
  </si>
  <si>
    <t>Standards Committee</t>
  </si>
  <si>
    <t>Cabinet Expenses</t>
  </si>
  <si>
    <t>Customer Relationship Management</t>
  </si>
  <si>
    <t>Digital Transformation</t>
  </si>
  <si>
    <t>Design &amp; Print Services</t>
  </si>
  <si>
    <t>Civic Office Keepers</t>
  </si>
  <si>
    <t>Health &amp; Safety</t>
  </si>
  <si>
    <t>Strategic Training</t>
  </si>
  <si>
    <t>Human Resources</t>
  </si>
  <si>
    <t>Income - Postage</t>
  </si>
  <si>
    <t>Income - Internal Recharged</t>
  </si>
  <si>
    <t>Income - External Income</t>
  </si>
  <si>
    <t>Rental Income</t>
  </si>
  <si>
    <t>Other Income</t>
  </si>
  <si>
    <t>CIL Admin Funding</t>
  </si>
  <si>
    <t>HDL Recharges</t>
  </si>
  <si>
    <t>Overview &amp; Scrutiny Committees</t>
  </si>
  <si>
    <t>Members National Insurance</t>
  </si>
  <si>
    <t>Childcare &amp; Dependents Allowance</t>
  </si>
  <si>
    <t>Reserves</t>
  </si>
  <si>
    <t>Sinking Fund</t>
  </si>
  <si>
    <t>EFS Management Fee</t>
  </si>
  <si>
    <t>EFS Sinking Fund</t>
  </si>
  <si>
    <t xml:space="preserve">Sinking Fund </t>
  </si>
  <si>
    <t>Feasibility Studies</t>
  </si>
  <si>
    <t>NNDR Under Indexation (S31 Grant)</t>
  </si>
  <si>
    <t>Services Grant</t>
  </si>
  <si>
    <t>Fav(Adv)</t>
  </si>
  <si>
    <t>Contingency Funding (Pay Rise)</t>
  </si>
  <si>
    <t>Creative Fund</t>
  </si>
  <si>
    <t>Recycling Income</t>
  </si>
  <si>
    <t>Grant Funding</t>
  </si>
  <si>
    <t>Premises Related</t>
  </si>
  <si>
    <t>Transfer Payments</t>
  </si>
  <si>
    <t>Other Income - Service Charges</t>
  </si>
  <si>
    <t>Rental Income - Eastbury Road</t>
  </si>
  <si>
    <t>Rental Income - Residual Houses</t>
  </si>
  <si>
    <t>Rental Income - Places for People</t>
  </si>
  <si>
    <t>Rental Income  - EFS New Stages</t>
  </si>
  <si>
    <t>Rental Income - Elstree Film Studios (EFS)</t>
  </si>
  <si>
    <t>Rental Income - Oakridge Lane Depot</t>
  </si>
  <si>
    <t>Rental Income  - Cranbourne Ind Estate</t>
  </si>
  <si>
    <t>Other Commercial Properties</t>
  </si>
  <si>
    <t>Sundry Leases - Rental</t>
  </si>
  <si>
    <t>Insurance Recharged &amp; Service Charges</t>
  </si>
  <si>
    <t>Funding Guarantee</t>
  </si>
  <si>
    <t>2024/25</t>
  </si>
  <si>
    <t>Asset Management &amp; Engineering</t>
  </si>
  <si>
    <t>Corporate Budgets</t>
  </si>
  <si>
    <t>Contribution to Reserve (Garden Waste)</t>
  </si>
  <si>
    <t>Revenues and Benefits Unit</t>
  </si>
  <si>
    <t>Transfer to reserves</t>
  </si>
  <si>
    <t>Reserve funding</t>
  </si>
  <si>
    <t>Elstree Film Studios (EFS) - Funding</t>
  </si>
  <si>
    <t>Council Tax Support</t>
  </si>
  <si>
    <t>Community Enforcement</t>
  </si>
  <si>
    <t>Parking Contribution</t>
  </si>
  <si>
    <t>Income - E&amp;B Town Council</t>
  </si>
  <si>
    <t>2025/26</t>
  </si>
  <si>
    <t>Contribution received</t>
  </si>
  <si>
    <t>Customer Services</t>
  </si>
  <si>
    <t>Internal recharges (from Housing)</t>
  </si>
  <si>
    <t>Rental Income - The Point</t>
  </si>
  <si>
    <t>Cemeteries</t>
  </si>
  <si>
    <t>Audit Committee</t>
  </si>
  <si>
    <t>Funding Floor</t>
  </si>
  <si>
    <t>Domestic Abuse Safe Accommodation Grant</t>
  </si>
  <si>
    <t>Other Specific Grants - EPR</t>
  </si>
  <si>
    <t>National Insurance Grant</t>
  </si>
  <si>
    <t>Grant Funding HPG</t>
  </si>
  <si>
    <t>Grant Funding -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</si>
</sst>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(#,##0\)"/>
    <numFmt numFmtId="165" formatCode="#,##0;[Red]\(#,##0\)"/>
  </numFmts>
  <fonts count="23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2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sz val="14"/>
      <color indexed="48"/>
      <name val="Arial"/>
      <family val="2"/>
    </font>
    <font>
      <b/>
      <sz val="14"/>
      <color indexed="4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name val="MS Sans Serif"/>
      <family val="2"/>
    </font>
    <font>
      <b/>
      <sz val="14"/>
      <color rgb="FF00B0F0"/>
      <name val="Arial"/>
      <family val="2"/>
    </font>
    <font>
      <sz val="21"/>
      <name val="Arial"/>
      <family val="2"/>
    </font>
    <font>
      <b/>
      <u/>
      <sz val="16"/>
      <name val="Arial"/>
      <family val="2"/>
    </font>
    <font>
      <b/>
      <sz val="22"/>
      <name val="Arial"/>
      <family val="2"/>
    </font>
    <font>
      <sz val="17.5"/>
      <name val="Arial"/>
      <family val="2"/>
    </font>
    <font>
      <b/>
      <sz val="18"/>
      <name val="Arial"/>
      <family val="2"/>
    </font>
    <font>
      <b/>
      <sz val="14"/>
      <color rgb="FF0070C0"/>
      <name val="Arial"/>
      <family val="2"/>
    </font>
    <font>
      <u/>
      <sz val="10"/>
      <color theme="10"/>
      <name val="MS Sans Serif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 applyProtection="0"/>
    <xf numFmtId="40" fontId="1" fillId="0" borderId="0" applyFont="0" applyFill="0" applyBorder="0" applyAlignment="0" applyProtection="0"/>
    <xf numFmtId="0" fontId="1" fillId="0" borderId="0" applyProtection="0"/>
    <xf numFmtId="0" fontId="2" fillId="0" borderId="0"/>
    <xf numFmtId="0" fontId="2" fillId="0" borderId="0"/>
    <xf numFmtId="0" fontId="1" fillId="0" borderId="0" applyProtection="0"/>
    <xf numFmtId="0" fontId="2" fillId="0" borderId="0"/>
    <xf numFmtId="0" fontId="14" fillId="0" borderId="0" applyFont="0" applyAlignment="0">
      <alignment horizontal="left"/>
    </xf>
    <xf numFmtId="0" fontId="22" fillId="0" borderId="0" applyNumberFormat="0" applyFill="0" applyBorder="0" applyAlignment="0" applyProtection="0"/>
  </cellStyleXfs>
  <cellXfs count="233">
    <xf numFmtId="0" fontId="0" fillId="0" borderId="0" xfId="0"/>
    <xf numFmtId="164" fontId="3" fillId="0" borderId="0" xfId="0" applyNumberFormat="1" applyFont="1" applyBorder="1"/>
    <xf numFmtId="164" fontId="7" fillId="0" borderId="0" xfId="0" quotePrefix="1" applyNumberFormat="1" applyFont="1" applyAlignment="1">
      <alignment horizontal="left"/>
    </xf>
    <xf numFmtId="164" fontId="7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8" fillId="0" borderId="0" xfId="0" applyNumberFormat="1" applyFont="1"/>
    <xf numFmtId="164" fontId="3" fillId="0" borderId="0" xfId="0" applyNumberFormat="1" applyFont="1" applyAlignment="1">
      <alignment horizontal="left"/>
    </xf>
    <xf numFmtId="164" fontId="8" fillId="0" borderId="0" xfId="0" applyNumberFormat="1" applyFont="1" applyBorder="1"/>
    <xf numFmtId="164" fontId="3" fillId="0" borderId="0" xfId="0" quotePrefix="1" applyNumberFormat="1" applyFont="1" applyAlignment="1">
      <alignment horizontal="left"/>
    </xf>
    <xf numFmtId="164" fontId="3" fillId="0" borderId="5" xfId="0" applyNumberFormat="1" applyFont="1" applyBorder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left"/>
    </xf>
    <xf numFmtId="164" fontId="3" fillId="0" borderId="0" xfId="0" quotePrefix="1" applyNumberFormat="1" applyFont="1" applyBorder="1" applyAlignment="1">
      <alignment horizontal="left"/>
    </xf>
    <xf numFmtId="164" fontId="9" fillId="0" borderId="0" xfId="0" quotePrefix="1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164" fontId="8" fillId="0" borderId="0" xfId="0" applyNumberFormat="1" applyFont="1" applyFill="1"/>
    <xf numFmtId="164" fontId="8" fillId="0" borderId="0" xfId="0" applyNumberFormat="1" applyFont="1" applyFill="1" applyBorder="1"/>
    <xf numFmtId="164" fontId="3" fillId="0" borderId="0" xfId="0" applyNumberFormat="1" applyFont="1" applyFill="1"/>
    <xf numFmtId="164" fontId="3" fillId="0" borderId="0" xfId="0" applyNumberFormat="1" applyFont="1" applyFill="1" applyBorder="1"/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8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8" fillId="0" borderId="0" xfId="6" applyNumberFormat="1" applyFont="1" applyBorder="1" applyAlignment="1">
      <alignment horizontal="right"/>
    </xf>
    <xf numFmtId="164" fontId="7" fillId="0" borderId="0" xfId="0" applyNumberFormat="1" applyFont="1" applyAlignment="1">
      <alignment horizontal="center"/>
    </xf>
    <xf numFmtId="164" fontId="11" fillId="0" borderId="0" xfId="0" applyNumberFormat="1" applyFont="1"/>
    <xf numFmtId="164" fontId="11" fillId="0" borderId="0" xfId="0" applyNumberFormat="1" applyFont="1" applyBorder="1"/>
    <xf numFmtId="164" fontId="11" fillId="0" borderId="0" xfId="6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8" fillId="0" borderId="0" xfId="6" applyNumberFormat="1" applyFont="1" applyFill="1" applyBorder="1" applyAlignment="1">
      <alignment horizontal="center"/>
    </xf>
    <xf numFmtId="164" fontId="11" fillId="0" borderId="0" xfId="6" quotePrefix="1" applyNumberFormat="1" applyFont="1" applyBorder="1" applyAlignment="1">
      <alignment horizontal="center"/>
    </xf>
    <xf numFmtId="164" fontId="15" fillId="0" borderId="0" xfId="0" applyNumberFormat="1" applyFont="1"/>
    <xf numFmtId="164" fontId="15" fillId="0" borderId="0" xfId="0" applyNumberFormat="1" applyFont="1" applyBorder="1"/>
    <xf numFmtId="165" fontId="8" fillId="0" borderId="0" xfId="6" applyNumberFormat="1" applyFont="1" applyAlignment="1">
      <alignment horizontal="left"/>
    </xf>
    <xf numFmtId="0" fontId="3" fillId="0" borderId="0" xfId="6" applyFont="1"/>
    <xf numFmtId="3" fontId="3" fillId="0" borderId="0" xfId="6" applyNumberFormat="1" applyFont="1"/>
    <xf numFmtId="165" fontId="3" fillId="0" borderId="0" xfId="6" quotePrefix="1" applyNumberFormat="1" applyFont="1" applyAlignment="1">
      <alignment horizontal="left"/>
    </xf>
    <xf numFmtId="165" fontId="3" fillId="0" borderId="0" xfId="6" applyNumberFormat="1" applyFont="1" applyAlignment="1">
      <alignment horizontal="left"/>
    </xf>
    <xf numFmtId="165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165" fontId="3" fillId="0" borderId="4" xfId="0" applyNumberFormat="1" applyFont="1" applyBorder="1"/>
    <xf numFmtId="165" fontId="3" fillId="0" borderId="0" xfId="6" applyNumberFormat="1" applyFont="1"/>
    <xf numFmtId="165" fontId="8" fillId="0" borderId="4" xfId="0" applyNumberFormat="1" applyFont="1" applyBorder="1"/>
    <xf numFmtId="165" fontId="8" fillId="0" borderId="0" xfId="6" quotePrefix="1" applyNumberFormat="1" applyFont="1" applyAlignment="1">
      <alignment horizontal="left"/>
    </xf>
    <xf numFmtId="165" fontId="8" fillId="0" borderId="4" xfId="6" applyNumberFormat="1" applyFont="1" applyBorder="1" applyAlignment="1">
      <alignment horizontal="fill"/>
    </xf>
    <xf numFmtId="165" fontId="3" fillId="0" borderId="0" xfId="6" applyNumberFormat="1" applyFont="1" applyBorder="1"/>
    <xf numFmtId="3" fontId="4" fillId="0" borderId="0" xfId="0" applyNumberFormat="1" applyFont="1" applyAlignment="1">
      <alignment horizontal="right" vertical="center" wrapText="1" indent="3"/>
    </xf>
    <xf numFmtId="165" fontId="3" fillId="0" borderId="0" xfId="0" applyNumberFormat="1" applyFont="1" applyFill="1"/>
    <xf numFmtId="0" fontId="8" fillId="0" borderId="0" xfId="6" applyFont="1" applyAlignment="1">
      <alignment horizontal="right"/>
    </xf>
    <xf numFmtId="164" fontId="8" fillId="0" borderId="7" xfId="6" quotePrefix="1" applyNumberFormat="1" applyFont="1" applyBorder="1" applyAlignment="1">
      <alignment horizontal="right"/>
    </xf>
    <xf numFmtId="0" fontId="8" fillId="0" borderId="0" xfId="6" applyFont="1"/>
    <xf numFmtId="0" fontId="3" fillId="0" borderId="0" xfId="6" applyFont="1" applyAlignment="1">
      <alignment horizontal="right"/>
    </xf>
    <xf numFmtId="165" fontId="8" fillId="0" borderId="0" xfId="6" applyNumberFormat="1" applyFont="1" applyAlignment="1"/>
    <xf numFmtId="165" fontId="8" fillId="0" borderId="0" xfId="0" applyNumberFormat="1" applyFont="1" applyFill="1"/>
    <xf numFmtId="165" fontId="8" fillId="0" borderId="0" xfId="6" applyNumberFormat="1" applyFont="1"/>
    <xf numFmtId="165" fontId="8" fillId="0" borderId="0" xfId="6" applyNumberFormat="1" applyFont="1" applyAlignment="1">
      <alignment horizontal="fill"/>
    </xf>
    <xf numFmtId="0" fontId="8" fillId="0" borderId="0" xfId="0" applyFont="1" applyAlignment="1">
      <alignment horizontal="right"/>
    </xf>
    <xf numFmtId="165" fontId="8" fillId="0" borderId="0" xfId="6" applyNumberFormat="1" applyFont="1" applyBorder="1"/>
    <xf numFmtId="0" fontId="8" fillId="0" borderId="1" xfId="6" applyFont="1" applyBorder="1" applyAlignment="1">
      <alignment horizontal="right"/>
    </xf>
    <xf numFmtId="164" fontId="8" fillId="0" borderId="2" xfId="6" applyNumberFormat="1" applyFont="1" applyBorder="1" applyAlignment="1">
      <alignment horizontal="right"/>
    </xf>
    <xf numFmtId="165" fontId="3" fillId="0" borderId="0" xfId="6" applyNumberFormat="1" applyFont="1" applyAlignment="1"/>
    <xf numFmtId="165" fontId="3" fillId="0" borderId="0" xfId="6" applyNumberFormat="1" applyFont="1" applyFill="1" applyAlignment="1"/>
    <xf numFmtId="0" fontId="3" fillId="0" borderId="0" xfId="6" quotePrefix="1" applyFont="1"/>
    <xf numFmtId="165" fontId="8" fillId="0" borderId="0" xfId="6" applyNumberFormat="1" applyFont="1" applyFill="1"/>
    <xf numFmtId="165" fontId="3" fillId="0" borderId="0" xfId="6" applyNumberFormat="1" applyFont="1" applyFill="1"/>
    <xf numFmtId="165" fontId="3" fillId="0" borderId="5" xfId="6" applyNumberFormat="1" applyFont="1" applyBorder="1"/>
    <xf numFmtId="165" fontId="8" fillId="0" borderId="0" xfId="0" applyNumberFormat="1" applyFont="1"/>
    <xf numFmtId="165" fontId="3" fillId="0" borderId="0" xfId="6" quotePrefix="1" applyNumberFormat="1" applyFont="1" applyFill="1" applyAlignment="1">
      <alignment horizontal="left"/>
    </xf>
    <xf numFmtId="165" fontId="3" fillId="0" borderId="0" xfId="0" applyNumberFormat="1" applyFont="1" applyAlignment="1"/>
    <xf numFmtId="165" fontId="3" fillId="0" borderId="0" xfId="0" applyNumberFormat="1" applyFont="1" applyFill="1" applyAlignment="1"/>
    <xf numFmtId="165" fontId="3" fillId="0" borderId="4" xfId="6" applyNumberFormat="1" applyFont="1" applyBorder="1" applyAlignment="1">
      <alignment horizontal="fill"/>
    </xf>
    <xf numFmtId="165" fontId="3" fillId="0" borderId="0" xfId="6" applyNumberFormat="1" applyFont="1" applyFill="1" applyBorder="1"/>
    <xf numFmtId="165" fontId="3" fillId="0" borderId="3" xfId="6" applyNumberFormat="1" applyFont="1" applyBorder="1"/>
    <xf numFmtId="165" fontId="8" fillId="0" borderId="3" xfId="6" applyNumberFormat="1" applyFont="1" applyBorder="1"/>
    <xf numFmtId="165" fontId="3" fillId="0" borderId="0" xfId="6" applyNumberFormat="1" applyFont="1" applyAlignment="1">
      <alignment horizontal="fill"/>
    </xf>
    <xf numFmtId="38" fontId="3" fillId="0" borderId="0" xfId="6" applyNumberFormat="1" applyFont="1"/>
    <xf numFmtId="38" fontId="8" fillId="0" borderId="0" xfId="6" applyNumberFormat="1" applyFont="1"/>
    <xf numFmtId="164" fontId="3" fillId="0" borderId="0" xfId="0" applyNumberFormat="1" applyFont="1" applyFill="1" applyBorder="1" applyAlignment="1">
      <alignment horizontal="left"/>
    </xf>
    <xf numFmtId="37" fontId="3" fillId="0" borderId="0" xfId="0" applyNumberFormat="1" applyFont="1"/>
    <xf numFmtId="164" fontId="3" fillId="0" borderId="0" xfId="0" quotePrefix="1" applyNumberFormat="1" applyFont="1" applyFill="1" applyBorder="1" applyAlignment="1">
      <alignment horizontal="center"/>
    </xf>
    <xf numFmtId="164" fontId="3" fillId="0" borderId="0" xfId="6" quotePrefix="1" applyNumberFormat="1" applyFont="1" applyFill="1" applyBorder="1" applyAlignment="1">
      <alignment horizontal="center"/>
    </xf>
    <xf numFmtId="164" fontId="8" fillId="0" borderId="0" xfId="6" quotePrefix="1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3" fillId="0" borderId="0" xfId="0" quotePrefix="1" applyNumberFormat="1" applyFont="1" applyFill="1" applyBorder="1" applyAlignment="1">
      <alignment horizontal="left"/>
    </xf>
    <xf numFmtId="164" fontId="7" fillId="0" borderId="0" xfId="0" applyNumberFormat="1" applyFont="1" applyFill="1" applyBorder="1"/>
    <xf numFmtId="164" fontId="8" fillId="0" borderId="0" xfId="0" applyNumberFormat="1" applyFont="1" applyFill="1" applyBorder="1" applyAlignment="1">
      <alignment horizontal="center"/>
    </xf>
    <xf numFmtId="164" fontId="8" fillId="0" borderId="5" xfId="0" applyNumberFormat="1" applyFont="1" applyFill="1" applyBorder="1"/>
    <xf numFmtId="164" fontId="3" fillId="0" borderId="0" xfId="0" applyNumberFormat="1" applyFont="1" applyFill="1" applyAlignment="1"/>
    <xf numFmtId="164" fontId="8" fillId="0" borderId="0" xfId="0" applyNumberFormat="1" applyFont="1" applyFill="1" applyAlignment="1"/>
    <xf numFmtId="164" fontId="3" fillId="0" borderId="0" xfId="0" applyNumberFormat="1" applyFont="1" applyFill="1" applyBorder="1" applyAlignment="1"/>
    <xf numFmtId="164" fontId="8" fillId="0" borderId="0" xfId="0" applyNumberFormat="1" applyFont="1" applyFill="1" applyBorder="1" applyAlignment="1"/>
    <xf numFmtId="164" fontId="8" fillId="0" borderId="0" xfId="0" applyNumberFormat="1" applyFont="1" applyFill="1" applyBorder="1" applyAlignment="1">
      <alignment horizontal="left"/>
    </xf>
    <xf numFmtId="164" fontId="8" fillId="0" borderId="0" xfId="0" quotePrefix="1" applyNumberFormat="1" applyFont="1" applyFill="1" applyBorder="1" applyAlignment="1">
      <alignment horizontal="left"/>
    </xf>
    <xf numFmtId="164" fontId="11" fillId="0" borderId="0" xfId="0" applyNumberFormat="1" applyFont="1" applyBorder="1" applyAlignment="1">
      <alignment horizontal="center"/>
    </xf>
    <xf numFmtId="164" fontId="10" fillId="0" borderId="0" xfId="0" applyNumberFormat="1" applyFont="1" applyBorder="1"/>
    <xf numFmtId="164" fontId="8" fillId="0" borderId="0" xfId="0" quotePrefix="1" applyNumberFormat="1" applyFont="1" applyBorder="1" applyAlignment="1">
      <alignment horizontal="left"/>
    </xf>
    <xf numFmtId="11" fontId="6" fillId="0" borderId="0" xfId="0" applyNumberFormat="1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8" fillId="0" borderId="7" xfId="6" quotePrefix="1" applyNumberFormat="1" applyFont="1" applyFill="1" applyBorder="1" applyAlignment="1">
      <alignment horizontal="right"/>
    </xf>
    <xf numFmtId="164" fontId="8" fillId="0" borderId="8" xfId="6" applyNumberFormat="1" applyFont="1" applyFill="1" applyBorder="1" applyAlignment="1">
      <alignment horizontal="right"/>
    </xf>
    <xf numFmtId="164" fontId="8" fillId="0" borderId="11" xfId="6" applyNumberFormat="1" applyFont="1" applyFill="1" applyBorder="1" applyAlignment="1">
      <alignment horizontal="right"/>
    </xf>
    <xf numFmtId="165" fontId="8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164" fontId="8" fillId="0" borderId="4" xfId="0" applyNumberFormat="1" applyFont="1" applyFill="1" applyBorder="1" applyAlignment="1">
      <alignment horizontal="right"/>
    </xf>
    <xf numFmtId="164" fontId="8" fillId="0" borderId="3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4" fontId="8" fillId="0" borderId="5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164" fontId="13" fillId="0" borderId="0" xfId="0" quotePrefix="1" applyNumberFormat="1" applyFont="1" applyAlignment="1">
      <alignment horizontal="left"/>
    </xf>
    <xf numFmtId="164" fontId="13" fillId="0" borderId="0" xfId="0" applyNumberFormat="1" applyFont="1"/>
    <xf numFmtId="164" fontId="12" fillId="0" borderId="0" xfId="0" quotePrefix="1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164" fontId="12" fillId="0" borderId="0" xfId="0" applyNumberFormat="1" applyFont="1"/>
    <xf numFmtId="165" fontId="12" fillId="0" borderId="0" xfId="6" quotePrefix="1" applyNumberFormat="1" applyFont="1" applyAlignment="1">
      <alignment horizontal="left"/>
    </xf>
    <xf numFmtId="0" fontId="13" fillId="0" borderId="0" xfId="6" applyFont="1" applyAlignment="1">
      <alignment horizontal="left"/>
    </xf>
    <xf numFmtId="164" fontId="10" fillId="0" borderId="0" xfId="0" applyNumberFormat="1" applyFont="1" applyBorder="1" applyAlignment="1">
      <alignment horizontal="centerContinuous"/>
    </xf>
    <xf numFmtId="164" fontId="3" fillId="0" borderId="0" xfId="0" applyNumberFormat="1" applyFont="1" applyBorder="1" applyAlignment="1">
      <alignment horizontal="centerContinuous"/>
    </xf>
    <xf numFmtId="164" fontId="3" fillId="0" borderId="5" xfId="0" applyNumberFormat="1" applyFont="1" applyBorder="1" applyAlignment="1">
      <alignment horizontal="right"/>
    </xf>
    <xf numFmtId="164" fontId="17" fillId="0" borderId="0" xfId="0" quotePrefix="1" applyNumberFormat="1" applyFont="1" applyAlignment="1">
      <alignment horizontal="left"/>
    </xf>
    <xf numFmtId="164" fontId="3" fillId="0" borderId="5" xfId="0" applyNumberFormat="1" applyFont="1" applyFill="1" applyBorder="1" applyAlignment="1">
      <alignment horizontal="right"/>
    </xf>
    <xf numFmtId="0" fontId="1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4" fontId="3" fillId="0" borderId="0" xfId="0" quotePrefix="1" applyNumberFormat="1" applyFont="1" applyBorder="1" applyAlignment="1">
      <alignment horizontal="center"/>
    </xf>
    <xf numFmtId="0" fontId="8" fillId="0" borderId="0" xfId="0" applyFont="1"/>
    <xf numFmtId="164" fontId="3" fillId="0" borderId="0" xfId="0" applyNumberFormat="1" applyFont="1" applyAlignment="1">
      <alignment horizontal="centerContinuous"/>
    </xf>
    <xf numFmtId="164" fontId="8" fillId="0" borderId="0" xfId="0" applyNumberFormat="1" applyFont="1" applyBorder="1" applyAlignment="1">
      <alignment horizontal="centerContinuous"/>
    </xf>
    <xf numFmtId="164" fontId="8" fillId="0" borderId="0" xfId="0" applyNumberFormat="1" applyFont="1" applyBorder="1" applyAlignment="1">
      <alignment horizontal="left"/>
    </xf>
    <xf numFmtId="37" fontId="8" fillId="0" borderId="0" xfId="0" applyNumberFormat="1" applyFont="1" applyFill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37" fontId="3" fillId="0" borderId="4" xfId="0" applyNumberFormat="1" applyFont="1" applyFill="1" applyBorder="1" applyAlignment="1">
      <alignment horizontal="right"/>
    </xf>
    <xf numFmtId="37" fontId="8" fillId="0" borderId="3" xfId="0" applyNumberFormat="1" applyFont="1" applyFill="1" applyBorder="1" applyAlignment="1">
      <alignment horizontal="right"/>
    </xf>
    <xf numFmtId="164" fontId="8" fillId="0" borderId="0" xfId="6" applyNumberFormat="1" applyFont="1" applyFill="1" applyBorder="1" applyAlignment="1">
      <alignment horizontal="right"/>
    </xf>
    <xf numFmtId="164" fontId="8" fillId="0" borderId="3" xfId="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8" fillId="0" borderId="6" xfId="0" applyNumberFormat="1" applyFont="1" applyFill="1" applyBorder="1" applyAlignment="1">
      <alignment horizontal="right"/>
    </xf>
    <xf numFmtId="0" fontId="12" fillId="0" borderId="0" xfId="0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12" fillId="0" borderId="0" xfId="0" applyFont="1"/>
    <xf numFmtId="164" fontId="13" fillId="0" borderId="0" xfId="0" applyNumberFormat="1" applyFont="1" applyAlignment="1">
      <alignment horizontal="left"/>
    </xf>
    <xf numFmtId="164" fontId="6" fillId="0" borderId="0" xfId="0" applyNumberFormat="1" applyFont="1" applyBorder="1" applyAlignment="1"/>
    <xf numFmtId="164" fontId="7" fillId="0" borderId="0" xfId="0" applyNumberFormat="1" applyFont="1" applyFill="1" applyAlignment="1">
      <alignment horizontal="left"/>
    </xf>
    <xf numFmtId="164" fontId="7" fillId="0" borderId="0" xfId="0" quotePrefix="1" applyNumberFormat="1" applyFont="1" applyFill="1" applyAlignment="1">
      <alignment horizontal="left"/>
    </xf>
    <xf numFmtId="164" fontId="3" fillId="0" borderId="0" xfId="0" quotePrefix="1" applyNumberFormat="1" applyFont="1" applyFill="1" applyAlignment="1">
      <alignment horizontal="left"/>
    </xf>
    <xf numFmtId="164" fontId="8" fillId="0" borderId="0" xfId="0" applyNumberFormat="1" applyFont="1" applyBorder="1" applyAlignment="1"/>
    <xf numFmtId="164" fontId="8" fillId="0" borderId="0" xfId="0" applyNumberFormat="1" applyFont="1" applyAlignment="1">
      <alignment horizontal="centerContinuous"/>
    </xf>
    <xf numFmtId="164" fontId="3" fillId="0" borderId="4" xfId="0" applyNumberFormat="1" applyFont="1" applyFill="1" applyBorder="1" applyAlignment="1">
      <alignment horizontal="right"/>
    </xf>
    <xf numFmtId="164" fontId="8" fillId="0" borderId="0" xfId="0" quotePrefix="1" applyNumberFormat="1" applyFont="1" applyAlignment="1">
      <alignment horizontal="right"/>
    </xf>
    <xf numFmtId="164" fontId="8" fillId="0" borderId="5" xfId="0" applyNumberFormat="1" applyFont="1" applyBorder="1" applyAlignment="1">
      <alignment horizontal="right"/>
    </xf>
    <xf numFmtId="164" fontId="13" fillId="0" borderId="0" xfId="0" quotePrefix="1" applyNumberFormat="1" applyFont="1" applyFill="1" applyAlignment="1">
      <alignment horizontal="left"/>
    </xf>
    <xf numFmtId="164" fontId="18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Continuous"/>
    </xf>
    <xf numFmtId="164" fontId="3" fillId="0" borderId="0" xfId="0" quotePrefix="1" applyNumberFormat="1" applyFont="1" applyBorder="1" applyAlignment="1">
      <alignment horizontal="centerContinuous"/>
    </xf>
    <xf numFmtId="164" fontId="6" fillId="0" borderId="0" xfId="0" quotePrefix="1" applyNumberFormat="1" applyFont="1" applyBorder="1" applyAlignment="1">
      <alignment horizontal="center"/>
    </xf>
    <xf numFmtId="164" fontId="3" fillId="0" borderId="0" xfId="0" applyNumberFormat="1" applyFont="1" applyBorder="1" applyAlignment="1"/>
    <xf numFmtId="164" fontId="7" fillId="0" borderId="0" xfId="0" quotePrefix="1" applyNumberFormat="1" applyFont="1" applyAlignment="1">
      <alignment horizontal="center"/>
    </xf>
    <xf numFmtId="164" fontId="6" fillId="0" borderId="0" xfId="0" quotePrefix="1" applyNumberFormat="1" applyFont="1" applyBorder="1" applyAlignment="1">
      <alignment horizontal="left"/>
    </xf>
    <xf numFmtId="164" fontId="20" fillId="0" borderId="0" xfId="0" applyNumberFormat="1" applyFont="1" applyFill="1"/>
    <xf numFmtId="164" fontId="7" fillId="0" borderId="0" xfId="0" applyNumberFormat="1" applyFont="1" applyFill="1"/>
    <xf numFmtId="164" fontId="3" fillId="0" borderId="0" xfId="0" applyNumberFormat="1" applyFont="1" applyFill="1" applyAlignment="1">
      <alignment horizontal="left"/>
    </xf>
    <xf numFmtId="164" fontId="8" fillId="0" borderId="0" xfId="0" applyNumberFormat="1" applyFont="1" applyFill="1" applyAlignment="1">
      <alignment horizontal="left"/>
    </xf>
    <xf numFmtId="164" fontId="8" fillId="0" borderId="0" xfId="0" quotePrefix="1" applyNumberFormat="1" applyFont="1" applyFill="1" applyAlignment="1">
      <alignment horizontal="left"/>
    </xf>
    <xf numFmtId="164" fontId="21" fillId="0" borderId="0" xfId="0" applyNumberFormat="1" applyFont="1" applyFill="1" applyBorder="1" applyAlignment="1"/>
    <xf numFmtId="164" fontId="3" fillId="0" borderId="3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8" fillId="0" borderId="3" xfId="0" applyNumberFormat="1" applyFont="1" applyBorder="1" applyAlignment="1">
      <alignment horizontal="right"/>
    </xf>
    <xf numFmtId="164" fontId="18" fillId="0" borderId="0" xfId="0" applyNumberFormat="1" applyFont="1" applyBorder="1" applyAlignment="1">
      <alignment vertical="center"/>
    </xf>
    <xf numFmtId="164" fontId="3" fillId="0" borderId="6" xfId="0" applyNumberFormat="1" applyFont="1" applyFill="1" applyBorder="1" applyAlignment="1">
      <alignment horizontal="right"/>
    </xf>
    <xf numFmtId="164" fontId="5" fillId="0" borderId="0" xfId="0" applyNumberFormat="1" applyFont="1" applyFill="1" applyAlignment="1">
      <alignment horizontal="right"/>
    </xf>
    <xf numFmtId="164" fontId="8" fillId="0" borderId="0" xfId="6" quotePrefix="1" applyNumberFormat="1" applyFont="1" applyFill="1" applyBorder="1" applyAlignment="1">
      <alignment horizontal="right"/>
    </xf>
    <xf numFmtId="164" fontId="16" fillId="0" borderId="0" xfId="0" quotePrefix="1" applyNumberFormat="1" applyFont="1" applyBorder="1" applyAlignment="1">
      <alignment horizontal="left"/>
    </xf>
    <xf numFmtId="164" fontId="16" fillId="0" borderId="0" xfId="0" quotePrefix="1" applyNumberFormat="1" applyFont="1" applyBorder="1" applyAlignment="1"/>
    <xf numFmtId="164" fontId="8" fillId="0" borderId="4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18" fillId="0" borderId="0" xfId="0" quotePrefix="1" applyNumberFormat="1" applyFont="1" applyBorder="1" applyAlignment="1">
      <alignment horizontal="center" vertical="center"/>
    </xf>
    <xf numFmtId="164" fontId="12" fillId="0" borderId="0" xfId="0" quotePrefix="1" applyNumberFormat="1" applyFont="1" applyBorder="1" applyAlignment="1">
      <alignment horizontal="left"/>
    </xf>
    <xf numFmtId="164" fontId="12" fillId="0" borderId="0" xfId="0" applyNumberFormat="1" applyFont="1" applyFill="1"/>
    <xf numFmtId="164" fontId="12" fillId="0" borderId="0" xfId="0" quotePrefix="1" applyNumberFormat="1" applyFont="1" applyFill="1" applyAlignment="1">
      <alignment horizontal="left"/>
    </xf>
    <xf numFmtId="164" fontId="13" fillId="0" borderId="0" xfId="0" applyNumberFormat="1" applyFont="1" applyFill="1"/>
    <xf numFmtId="164" fontId="8" fillId="0" borderId="0" xfId="6" quotePrefix="1" applyNumberFormat="1" applyFont="1" applyBorder="1" applyAlignment="1">
      <alignment horizontal="right"/>
    </xf>
    <xf numFmtId="0" fontId="8" fillId="0" borderId="0" xfId="6" applyFont="1" applyBorder="1" applyAlignment="1">
      <alignment horizontal="right"/>
    </xf>
    <xf numFmtId="0" fontId="8" fillId="0" borderId="8" xfId="6" applyFont="1" applyBorder="1" applyAlignment="1">
      <alignment horizontal="right"/>
    </xf>
    <xf numFmtId="164" fontId="8" fillId="0" borderId="9" xfId="6" applyNumberFormat="1" applyFont="1" applyBorder="1" applyAlignment="1">
      <alignment horizontal="right"/>
    </xf>
    <xf numFmtId="164" fontId="8" fillId="0" borderId="3" xfId="6" applyNumberFormat="1" applyFont="1" applyFill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164" fontId="12" fillId="0" borderId="0" xfId="0" applyNumberFormat="1" applyFont="1" applyFill="1" applyAlignment="1">
      <alignment horizontal="left"/>
    </xf>
    <xf numFmtId="164" fontId="18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Alignment="1">
      <alignment horizontal="left"/>
    </xf>
    <xf numFmtId="37" fontId="3" fillId="0" borderId="0" xfId="0" applyNumberFormat="1" applyFont="1" applyFill="1" applyBorder="1" applyAlignment="1">
      <alignment horizontal="right"/>
    </xf>
    <xf numFmtId="165" fontId="8" fillId="0" borderId="4" xfId="6" applyNumberFormat="1" applyFont="1" applyFill="1" applyBorder="1"/>
    <xf numFmtId="165" fontId="8" fillId="0" borderId="0" xfId="6" applyNumberFormat="1" applyFont="1" applyFill="1" applyBorder="1"/>
    <xf numFmtId="165" fontId="3" fillId="0" borderId="4" xfId="6" applyNumberFormat="1" applyFont="1" applyFill="1" applyBorder="1"/>
    <xf numFmtId="0" fontId="3" fillId="0" borderId="0" xfId="6" applyFont="1" applyFill="1"/>
    <xf numFmtId="164" fontId="8" fillId="0" borderId="14" xfId="0" applyNumberFormat="1" applyFont="1" applyFill="1" applyBorder="1" applyAlignment="1">
      <alignment horizontal="right"/>
    </xf>
    <xf numFmtId="3" fontId="3" fillId="0" borderId="0" xfId="6" applyNumberFormat="1" applyFont="1" applyFill="1"/>
    <xf numFmtId="165" fontId="3" fillId="0" borderId="0" xfId="6" applyNumberFormat="1" applyFont="1" applyFill="1" applyAlignment="1">
      <alignment horizontal="left"/>
    </xf>
    <xf numFmtId="164" fontId="3" fillId="0" borderId="0" xfId="6" applyNumberFormat="1" applyFont="1" applyFill="1"/>
    <xf numFmtId="164" fontId="8" fillId="0" borderId="0" xfId="0" quotePrefix="1" applyNumberFormat="1" applyFont="1" applyFill="1" applyAlignment="1">
      <alignment horizontal="right"/>
    </xf>
    <xf numFmtId="164" fontId="8" fillId="0" borderId="5" xfId="0" applyNumberFormat="1" applyFont="1" applyBorder="1"/>
    <xf numFmtId="164" fontId="3" fillId="0" borderId="14" xfId="0" applyNumberFormat="1" applyFont="1" applyBorder="1"/>
    <xf numFmtId="164" fontId="3" fillId="0" borderId="14" xfId="0" applyNumberFormat="1" applyFont="1" applyBorder="1" applyAlignment="1">
      <alignment horizontal="right"/>
    </xf>
    <xf numFmtId="0" fontId="22" fillId="0" borderId="0" xfId="8" applyAlignment="1">
      <alignment vertical="center"/>
    </xf>
    <xf numFmtId="11" fontId="18" fillId="0" borderId="12" xfId="0" applyNumberFormat="1" applyFont="1" applyBorder="1" applyAlignment="1">
      <alignment horizontal="center" vertical="center" wrapText="1"/>
    </xf>
    <xf numFmtId="11" fontId="18" fillId="0" borderId="10" xfId="0" applyNumberFormat="1" applyFont="1" applyBorder="1" applyAlignment="1">
      <alignment horizontal="center" vertical="center" wrapText="1"/>
    </xf>
    <xf numFmtId="11" fontId="18" fillId="0" borderId="13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64" fontId="19" fillId="0" borderId="0" xfId="0" applyNumberFormat="1" applyFont="1" applyBorder="1" applyAlignment="1">
      <alignment horizontal="center"/>
    </xf>
    <xf numFmtId="164" fontId="18" fillId="0" borderId="12" xfId="0" quotePrefix="1" applyNumberFormat="1" applyFont="1" applyBorder="1" applyAlignment="1">
      <alignment horizontal="center" vertical="center"/>
    </xf>
    <xf numFmtId="164" fontId="18" fillId="0" borderId="10" xfId="0" quotePrefix="1" applyNumberFormat="1" applyFont="1" applyBorder="1" applyAlignment="1">
      <alignment horizontal="center" vertical="center"/>
    </xf>
    <xf numFmtId="164" fontId="18" fillId="0" borderId="13" xfId="0" quotePrefix="1" applyNumberFormat="1" applyFont="1" applyBorder="1" applyAlignment="1">
      <alignment horizontal="center" vertical="center"/>
    </xf>
    <xf numFmtId="164" fontId="18" fillId="0" borderId="12" xfId="0" applyNumberFormat="1" applyFont="1" applyBorder="1" applyAlignment="1">
      <alignment horizontal="center" vertical="center"/>
    </xf>
    <xf numFmtId="164" fontId="18" fillId="0" borderId="10" xfId="0" applyNumberFormat="1" applyFont="1" applyBorder="1" applyAlignment="1">
      <alignment horizontal="center" vertical="center"/>
    </xf>
    <xf numFmtId="164" fontId="18" fillId="0" borderId="13" xfId="0" applyNumberFormat="1" applyFont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0" xfId="0" applyNumberFormat="1" applyFont="1" applyFill="1" applyBorder="1" applyAlignment="1">
      <alignment horizontal="center" vertical="center"/>
    </xf>
    <xf numFmtId="164" fontId="18" fillId="0" borderId="13" xfId="0" applyNumberFormat="1" applyFont="1" applyFill="1" applyBorder="1" applyAlignment="1">
      <alignment horizontal="center" vertical="center"/>
    </xf>
    <xf numFmtId="164" fontId="18" fillId="0" borderId="12" xfId="0" applyNumberFormat="1" applyFon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164" fontId="18" fillId="0" borderId="13" xfId="0" applyNumberFormat="1" applyFont="1" applyBorder="1" applyAlignment="1">
      <alignment horizontal="center"/>
    </xf>
  </cellXfs>
  <cellStyles count="9">
    <cellStyle name="Comma" xfId="1" builtinId="3"/>
    <cellStyle name="Hyperlink" xfId="8" builtinId="8"/>
    <cellStyle name="Normal" xfId="0" builtinId="0"/>
    <cellStyle name="Normal 2" xfId="2"/>
    <cellStyle name="Normal 2 2" xfId="3"/>
    <cellStyle name="Normal 3" xfId="4"/>
    <cellStyle name="Normal 6" xfId="5"/>
    <cellStyle name="Normal_ORGSUM" xfId="6"/>
    <cellStyle name="SHADOW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  <pageSetUpPr fitToPage="1"/>
  </sheetPr>
  <dimension ref="A1:J57"/>
  <sheetViews>
    <sheetView tabSelected="1" zoomScale="90" zoomScaleNormal="90" workbookViewId="0">
      <selection activeCell="N19" sqref="N19"/>
    </sheetView>
  </sheetViews>
  <sheetFormatPr defaultColWidth="9.28515625" defaultRowHeight="18" x14ac:dyDescent="0.25"/>
  <cols>
    <col min="1" max="1" width="8.28515625" style="36" customWidth="1"/>
    <col min="2" max="2" width="53.42578125" style="36" customWidth="1"/>
    <col min="3" max="3" width="19.28515625" style="53" bestFit="1" customWidth="1"/>
    <col min="4" max="4" width="2.7109375" style="36" customWidth="1"/>
    <col min="5" max="5" width="18.42578125" style="36" customWidth="1"/>
    <col min="6" max="6" width="7.5703125" style="36" customWidth="1"/>
    <col min="7" max="7" width="15.7109375" style="36" bestFit="1" customWidth="1"/>
    <col min="8" max="8" width="5.140625" style="36" customWidth="1"/>
    <col min="9" max="9" width="9.85546875" style="36" bestFit="1" customWidth="1"/>
    <col min="10" max="10" width="13.5703125" style="36" bestFit="1" customWidth="1"/>
    <col min="11" max="16384" width="9.28515625" style="36"/>
  </cols>
  <sheetData>
    <row r="1" spans="1:10" x14ac:dyDescent="0.25">
      <c r="C1" s="52" t="s">
        <v>200</v>
      </c>
      <c r="D1" s="54"/>
      <c r="E1" s="52" t="s">
        <v>212</v>
      </c>
      <c r="F1" s="54"/>
      <c r="G1" s="52"/>
    </row>
    <row r="2" spans="1:10" x14ac:dyDescent="0.25">
      <c r="C2" s="61" t="s">
        <v>95</v>
      </c>
      <c r="D2" s="54"/>
      <c r="E2" s="61" t="s">
        <v>40</v>
      </c>
      <c r="F2" s="54"/>
      <c r="G2" s="61" t="s">
        <v>41</v>
      </c>
    </row>
    <row r="3" spans="1:10" x14ac:dyDescent="0.25">
      <c r="A3" s="37"/>
      <c r="B3" s="53"/>
      <c r="C3" s="62" t="s">
        <v>42</v>
      </c>
      <c r="D3" s="54"/>
      <c r="E3" s="62" t="s">
        <v>42</v>
      </c>
      <c r="F3" s="54"/>
      <c r="G3" s="62" t="s">
        <v>181</v>
      </c>
    </row>
    <row r="4" spans="1:10" x14ac:dyDescent="0.25">
      <c r="A4" s="37"/>
      <c r="E4" s="53"/>
      <c r="G4" s="51"/>
    </row>
    <row r="5" spans="1:10" ht="20.25" x14ac:dyDescent="0.3">
      <c r="A5" s="37"/>
      <c r="B5" s="123" t="s">
        <v>43</v>
      </c>
      <c r="C5" s="51" t="s">
        <v>0</v>
      </c>
      <c r="D5" s="54"/>
      <c r="E5" s="51" t="s">
        <v>0</v>
      </c>
      <c r="F5" s="54"/>
      <c r="G5" s="51" t="s">
        <v>0</v>
      </c>
    </row>
    <row r="6" spans="1:10" x14ac:dyDescent="0.25">
      <c r="A6" s="37"/>
      <c r="B6" s="204"/>
      <c r="C6" s="51"/>
      <c r="D6" s="54"/>
      <c r="E6" s="51"/>
      <c r="F6" s="54"/>
      <c r="G6" s="51"/>
    </row>
    <row r="7" spans="1:10" x14ac:dyDescent="0.25">
      <c r="A7" s="206"/>
      <c r="B7" s="70" t="s">
        <v>23</v>
      </c>
      <c r="C7" s="63">
        <f>'Planning &amp; ED'!C20</f>
        <v>1037900</v>
      </c>
      <c r="E7" s="63">
        <f>'Planning &amp; ED'!E20</f>
        <v>1090500</v>
      </c>
      <c r="G7" s="44">
        <f>C7-E7</f>
        <v>-52600</v>
      </c>
      <c r="I7" s="44"/>
      <c r="J7" s="57"/>
    </row>
    <row r="8" spans="1:10" x14ac:dyDescent="0.25">
      <c r="A8" s="206"/>
      <c r="B8" s="207" t="s">
        <v>13</v>
      </c>
      <c r="C8" s="63">
        <f>'Housing '!C14</f>
        <v>1317400</v>
      </c>
      <c r="E8" s="63">
        <f>'Housing '!E14</f>
        <v>842900</v>
      </c>
      <c r="G8" s="44">
        <f t="shared" ref="G8:G17" si="0">C8-E8</f>
        <v>474500</v>
      </c>
      <c r="I8" s="44"/>
      <c r="J8" s="57"/>
    </row>
    <row r="9" spans="1:10" x14ac:dyDescent="0.25">
      <c r="A9" s="206"/>
      <c r="B9" s="207" t="s">
        <v>31</v>
      </c>
      <c r="C9" s="44">
        <f>Partnerships!C28</f>
        <v>1408600</v>
      </c>
      <c r="E9" s="44">
        <f>Partnerships!E28</f>
        <v>1488500</v>
      </c>
      <c r="G9" s="44">
        <f>C9-E9</f>
        <v>-79900</v>
      </c>
      <c r="I9" s="44"/>
      <c r="J9" s="57"/>
    </row>
    <row r="10" spans="1:10" x14ac:dyDescent="0.25">
      <c r="A10" s="206"/>
      <c r="B10" s="70" t="s">
        <v>22</v>
      </c>
      <c r="C10" s="64">
        <f>'Env Health'!C24</f>
        <v>1264600</v>
      </c>
      <c r="E10" s="64">
        <f>'Env Health'!E24</f>
        <v>1192700</v>
      </c>
      <c r="G10" s="44">
        <f t="shared" si="0"/>
        <v>71900</v>
      </c>
      <c r="I10" s="44"/>
      <c r="J10" s="57"/>
    </row>
    <row r="11" spans="1:10" x14ac:dyDescent="0.25">
      <c r="A11" s="206"/>
      <c r="B11" s="207" t="s">
        <v>20</v>
      </c>
      <c r="C11" s="63">
        <f>' Street Scene'!C30</f>
        <v>5924900</v>
      </c>
      <c r="D11" s="65"/>
      <c r="E11" s="63">
        <f>' Street Scene'!E30</f>
        <v>6032800</v>
      </c>
      <c r="G11" s="44">
        <f t="shared" si="0"/>
        <v>-107900</v>
      </c>
      <c r="I11" s="44"/>
      <c r="J11" s="57"/>
    </row>
    <row r="12" spans="1:10" x14ac:dyDescent="0.25">
      <c r="A12" s="206"/>
      <c r="B12" s="207" t="s">
        <v>201</v>
      </c>
      <c r="C12" s="208">
        <f>'Asset Management'!C36</f>
        <v>-4508800</v>
      </c>
      <c r="D12" s="204"/>
      <c r="E12" s="208">
        <f>'Asset Management'!E36</f>
        <v>-4522500</v>
      </c>
      <c r="G12" s="44">
        <f t="shared" si="0"/>
        <v>13700</v>
      </c>
      <c r="I12" s="44"/>
      <c r="J12" s="57"/>
    </row>
    <row r="13" spans="1:10" x14ac:dyDescent="0.25">
      <c r="A13" s="206"/>
      <c r="B13" s="70" t="s">
        <v>21</v>
      </c>
      <c r="C13" s="67">
        <f>'Finance &amp; Bus Services'!C32</f>
        <v>3235800</v>
      </c>
      <c r="D13" s="204"/>
      <c r="E13" s="67">
        <f>'Finance &amp; Bus Services'!E32</f>
        <v>3222900</v>
      </c>
      <c r="G13" s="44">
        <f t="shared" si="0"/>
        <v>12900</v>
      </c>
      <c r="I13" s="44"/>
      <c r="J13" s="57"/>
    </row>
    <row r="14" spans="1:10" x14ac:dyDescent="0.25">
      <c r="A14" s="206"/>
      <c r="B14" s="70" t="s">
        <v>17</v>
      </c>
      <c r="C14" s="44">
        <f>'Legal &amp; Democratic '!C30</f>
        <v>1749100</v>
      </c>
      <c r="E14" s="67">
        <f>'Legal &amp; Democratic '!E30</f>
        <v>1764400</v>
      </c>
      <c r="G14" s="44">
        <f t="shared" si="0"/>
        <v>-15300</v>
      </c>
      <c r="I14" s="44"/>
      <c r="J14" s="57"/>
    </row>
    <row r="15" spans="1:10" x14ac:dyDescent="0.25">
      <c r="A15" s="206"/>
      <c r="B15" s="207" t="s">
        <v>18</v>
      </c>
      <c r="C15" s="67">
        <f>'Human Resources'!C24</f>
        <v>1490300</v>
      </c>
      <c r="E15" s="67">
        <f>'Human Resources'!E24</f>
        <v>1421800</v>
      </c>
      <c r="G15" s="44">
        <f t="shared" si="0"/>
        <v>68500</v>
      </c>
      <c r="I15" s="44"/>
      <c r="J15" s="57"/>
    </row>
    <row r="16" spans="1:10" s="4" customFormat="1" x14ac:dyDescent="0.25">
      <c r="A16" s="206"/>
      <c r="B16" s="50" t="s">
        <v>15</v>
      </c>
      <c r="C16" s="50">
        <f>Directors!C18</f>
        <v>555900</v>
      </c>
      <c r="E16" s="50">
        <f>Directors!E18</f>
        <v>548700</v>
      </c>
      <c r="G16" s="44">
        <f t="shared" si="0"/>
        <v>7200</v>
      </c>
      <c r="I16" s="44"/>
      <c r="J16" s="57"/>
    </row>
    <row r="17" spans="1:10" s="4" customFormat="1" x14ac:dyDescent="0.25">
      <c r="A17" s="206"/>
      <c r="B17" s="80" t="s">
        <v>30</v>
      </c>
      <c r="C17" s="40">
        <f>'Assurance Services'!C18</f>
        <v>215600</v>
      </c>
      <c r="E17" s="50">
        <f>'Assurance Services'!E18</f>
        <v>223200</v>
      </c>
      <c r="G17" s="68">
        <f t="shared" si="0"/>
        <v>-7600</v>
      </c>
      <c r="I17" s="44"/>
      <c r="J17" s="57"/>
    </row>
    <row r="18" spans="1:10" s="4" customFormat="1" x14ac:dyDescent="0.25">
      <c r="A18" s="42"/>
      <c r="B18" s="16"/>
      <c r="C18" s="43"/>
      <c r="E18" s="45"/>
      <c r="G18" s="44"/>
      <c r="I18" s="44"/>
      <c r="J18" s="44"/>
    </row>
    <row r="19" spans="1:10" s="4" customFormat="1" x14ac:dyDescent="0.25">
      <c r="A19" s="56"/>
      <c r="B19" s="46" t="s">
        <v>44</v>
      </c>
      <c r="C19" s="56">
        <f>SUM(C7:C18)</f>
        <v>13691300</v>
      </c>
      <c r="E19" s="56">
        <f>SUM(E7:E18)</f>
        <v>13305900</v>
      </c>
      <c r="G19" s="57">
        <f>C19-E19</f>
        <v>385400</v>
      </c>
      <c r="I19" s="44"/>
      <c r="J19" s="44"/>
    </row>
    <row r="20" spans="1:10" s="4" customFormat="1" x14ac:dyDescent="0.25">
      <c r="A20" s="42"/>
      <c r="B20" s="16"/>
      <c r="C20" s="40"/>
      <c r="E20" s="69"/>
      <c r="G20" s="44"/>
      <c r="I20" s="44"/>
    </row>
    <row r="21" spans="1:10" s="4" customFormat="1" x14ac:dyDescent="0.25">
      <c r="A21" s="42"/>
      <c r="B21" s="46" t="s">
        <v>45</v>
      </c>
      <c r="C21" s="40"/>
      <c r="E21" s="69"/>
      <c r="G21" s="44"/>
      <c r="I21" s="44"/>
    </row>
    <row r="22" spans="1:10" s="4" customFormat="1" x14ac:dyDescent="0.25">
      <c r="A22" s="42"/>
      <c r="B22" s="39" t="s">
        <v>32</v>
      </c>
      <c r="C22" s="44">
        <v>300000</v>
      </c>
      <c r="D22" s="36"/>
      <c r="E22" s="44">
        <v>300000</v>
      </c>
      <c r="G22" s="44">
        <f t="shared" ref="G22:G29" si="1">C22-E22</f>
        <v>0</v>
      </c>
      <c r="I22" s="44"/>
    </row>
    <row r="23" spans="1:10" s="4" customFormat="1" x14ac:dyDescent="0.25">
      <c r="A23" s="42"/>
      <c r="B23" s="38" t="s">
        <v>33</v>
      </c>
      <c r="C23" s="71">
        <f>'General Expenses'!C39</f>
        <v>279800</v>
      </c>
      <c r="D23" s="36"/>
      <c r="E23" s="71">
        <f>'General Expenses'!E39</f>
        <v>298800</v>
      </c>
      <c r="G23" s="44">
        <f t="shared" si="1"/>
        <v>-19000</v>
      </c>
      <c r="I23" s="44"/>
    </row>
    <row r="24" spans="1:10" s="4" customFormat="1" x14ac:dyDescent="0.25">
      <c r="A24" s="42"/>
      <c r="B24" s="38" t="s">
        <v>34</v>
      </c>
      <c r="C24" s="72">
        <f>'General Expenses'!C19</f>
        <v>121900</v>
      </c>
      <c r="D24" s="36"/>
      <c r="E24" s="72">
        <f>'General Expenses'!E19</f>
        <v>1623100</v>
      </c>
      <c r="G24" s="44">
        <f t="shared" si="1"/>
        <v>-1501200</v>
      </c>
      <c r="I24" s="44"/>
    </row>
    <row r="25" spans="1:10" x14ac:dyDescent="0.25">
      <c r="A25" s="37"/>
      <c r="B25" s="38" t="s">
        <v>19</v>
      </c>
      <c r="C25" s="208">
        <v>-1100000</v>
      </c>
      <c r="E25" s="208">
        <f>-1100000-400000</f>
        <v>-1500000</v>
      </c>
      <c r="G25" s="44">
        <f t="shared" si="1"/>
        <v>400000</v>
      </c>
      <c r="I25" s="44"/>
    </row>
    <row r="26" spans="1:10" x14ac:dyDescent="0.25">
      <c r="A26" s="37"/>
      <c r="B26" s="44" t="s">
        <v>35</v>
      </c>
      <c r="C26" s="44">
        <v>31000</v>
      </c>
      <c r="E26" s="44">
        <f>31000+10000</f>
        <v>41000</v>
      </c>
      <c r="G26" s="44">
        <f t="shared" si="1"/>
        <v>-10000</v>
      </c>
      <c r="I26" s="44"/>
    </row>
    <row r="27" spans="1:10" x14ac:dyDescent="0.25">
      <c r="A27" s="37"/>
      <c r="B27" s="44" t="s">
        <v>36</v>
      </c>
      <c r="C27" s="44">
        <v>490000</v>
      </c>
      <c r="E27" s="44">
        <f>481900+8100</f>
        <v>490000</v>
      </c>
      <c r="G27" s="68">
        <f t="shared" si="1"/>
        <v>0</v>
      </c>
      <c r="I27" s="44"/>
    </row>
    <row r="28" spans="1:10" x14ac:dyDescent="0.25">
      <c r="A28" s="37"/>
      <c r="B28" s="44"/>
      <c r="C28" s="73"/>
      <c r="E28" s="47"/>
      <c r="G28" s="44"/>
      <c r="I28" s="44"/>
    </row>
    <row r="29" spans="1:10" x14ac:dyDescent="0.25">
      <c r="A29" s="63"/>
      <c r="B29" s="46" t="s">
        <v>46</v>
      </c>
      <c r="C29" s="55">
        <f>SUM(C19:C27)</f>
        <v>13814000</v>
      </c>
      <c r="E29" s="55">
        <f>SUM(E19:E27)</f>
        <v>14558800</v>
      </c>
      <c r="G29" s="57">
        <f t="shared" si="1"/>
        <v>-744800</v>
      </c>
      <c r="I29" s="44"/>
    </row>
    <row r="30" spans="1:10" x14ac:dyDescent="0.25">
      <c r="A30" s="37"/>
      <c r="B30" s="46" t="s">
        <v>47</v>
      </c>
      <c r="C30" s="44"/>
      <c r="E30" s="57"/>
      <c r="G30" s="44"/>
      <c r="I30" s="44"/>
    </row>
    <row r="31" spans="1:10" x14ac:dyDescent="0.25">
      <c r="A31" s="37"/>
      <c r="B31" s="39"/>
      <c r="C31" s="44"/>
      <c r="E31" s="57"/>
      <c r="G31" s="44"/>
      <c r="I31" s="44"/>
    </row>
    <row r="32" spans="1:10" x14ac:dyDescent="0.25">
      <c r="A32" s="37"/>
      <c r="B32" s="39" t="s">
        <v>50</v>
      </c>
      <c r="C32" s="44">
        <v>130000</v>
      </c>
      <c r="E32" s="67">
        <f>130000+1000+18300</f>
        <v>149300</v>
      </c>
      <c r="G32" s="44">
        <f t="shared" ref="G32:G41" si="2">E32-C32</f>
        <v>19300</v>
      </c>
      <c r="I32" s="44"/>
    </row>
    <row r="33" spans="1:10" x14ac:dyDescent="0.25">
      <c r="B33" s="39" t="s">
        <v>37</v>
      </c>
      <c r="C33" s="67">
        <v>2972000</v>
      </c>
      <c r="E33" s="67">
        <f>2972000+147000-117000+8500</f>
        <v>3010500</v>
      </c>
      <c r="G33" s="44">
        <f t="shared" si="2"/>
        <v>38500</v>
      </c>
    </row>
    <row r="34" spans="1:10" x14ac:dyDescent="0.25">
      <c r="A34" s="37"/>
      <c r="B34" s="39" t="s">
        <v>179</v>
      </c>
      <c r="C34" s="67">
        <v>545000</v>
      </c>
      <c r="E34" s="67">
        <f>545000+5000+16200</f>
        <v>566200</v>
      </c>
      <c r="G34" s="44">
        <f t="shared" si="2"/>
        <v>21200</v>
      </c>
      <c r="I34" s="44"/>
    </row>
    <row r="35" spans="1:10" x14ac:dyDescent="0.25">
      <c r="B35" s="39" t="s">
        <v>199</v>
      </c>
      <c r="C35" s="67">
        <v>873000</v>
      </c>
      <c r="E35" s="67">
        <f>873000+481000+40000-1394000</f>
        <v>0</v>
      </c>
      <c r="G35" s="44">
        <f t="shared" si="2"/>
        <v>-873000</v>
      </c>
      <c r="J35" s="213"/>
    </row>
    <row r="36" spans="1:10" x14ac:dyDescent="0.25">
      <c r="B36" s="39" t="s">
        <v>219</v>
      </c>
      <c r="C36" s="67">
        <v>0</v>
      </c>
      <c r="E36" s="67">
        <f>952500-100</f>
        <v>952400</v>
      </c>
      <c r="G36" s="44">
        <f t="shared" si="2"/>
        <v>952400</v>
      </c>
    </row>
    <row r="37" spans="1:10" x14ac:dyDescent="0.25">
      <c r="B37" s="39" t="s">
        <v>220</v>
      </c>
      <c r="C37" s="67">
        <v>0</v>
      </c>
      <c r="E37" s="67">
        <v>38500</v>
      </c>
      <c r="G37" s="44">
        <f t="shared" si="2"/>
        <v>38500</v>
      </c>
    </row>
    <row r="38" spans="1:10" x14ac:dyDescent="0.25">
      <c r="B38" s="39" t="s">
        <v>38</v>
      </c>
      <c r="C38" s="67">
        <v>468000</v>
      </c>
      <c r="E38" s="67">
        <f>468000-468000+12600</f>
        <v>12600</v>
      </c>
      <c r="G38" s="44">
        <f t="shared" si="2"/>
        <v>-455400</v>
      </c>
    </row>
    <row r="39" spans="1:10" x14ac:dyDescent="0.25">
      <c r="B39" s="36" t="s">
        <v>180</v>
      </c>
      <c r="C39" s="37">
        <v>19000</v>
      </c>
      <c r="E39" s="206">
        <f>19000-19000</f>
        <v>0</v>
      </c>
      <c r="G39" s="48">
        <f t="shared" si="2"/>
        <v>-19000</v>
      </c>
    </row>
    <row r="40" spans="1:10" x14ac:dyDescent="0.25">
      <c r="B40" s="36" t="s">
        <v>222</v>
      </c>
      <c r="C40" s="37">
        <v>0</v>
      </c>
      <c r="E40" s="206">
        <f>395800-295800+33800</f>
        <v>133800</v>
      </c>
      <c r="G40" s="48">
        <f t="shared" si="2"/>
        <v>133800</v>
      </c>
    </row>
    <row r="41" spans="1:10" x14ac:dyDescent="0.25">
      <c r="B41" s="36" t="s">
        <v>221</v>
      </c>
      <c r="C41" s="37">
        <v>0</v>
      </c>
      <c r="E41" s="206">
        <f>188000+144400+399000+55000-454000-1000+295800-33800+100</f>
        <v>593500</v>
      </c>
      <c r="G41" s="68">
        <f t="shared" si="2"/>
        <v>593500</v>
      </c>
    </row>
    <row r="42" spans="1:10" x14ac:dyDescent="0.25">
      <c r="B42" s="39"/>
      <c r="C42" s="203"/>
      <c r="E42" s="201"/>
      <c r="G42" s="44"/>
    </row>
    <row r="43" spans="1:10" x14ac:dyDescent="0.25">
      <c r="B43" s="35" t="s">
        <v>48</v>
      </c>
      <c r="C43" s="202">
        <f>SUM(C32:C42)</f>
        <v>5007000</v>
      </c>
      <c r="E43" s="202">
        <f>SUM(E32:E42)</f>
        <v>5456800</v>
      </c>
      <c r="G43" s="57">
        <f>E43-C43</f>
        <v>449800</v>
      </c>
    </row>
    <row r="44" spans="1:10" x14ac:dyDescent="0.25">
      <c r="B44" s="39"/>
      <c r="C44" s="67"/>
      <c r="E44" s="66"/>
      <c r="G44" s="44"/>
    </row>
    <row r="45" spans="1:10" x14ac:dyDescent="0.25">
      <c r="B45" s="39" t="s">
        <v>39</v>
      </c>
      <c r="C45" s="74">
        <v>0</v>
      </c>
      <c r="E45" s="74">
        <v>0</v>
      </c>
      <c r="G45" s="44">
        <f>E45-C45</f>
        <v>0</v>
      </c>
    </row>
    <row r="46" spans="1:10" x14ac:dyDescent="0.25">
      <c r="C46" s="204"/>
      <c r="G46" s="68"/>
    </row>
    <row r="47" spans="1:10" x14ac:dyDescent="0.25">
      <c r="B47" s="44"/>
      <c r="C47" s="73"/>
      <c r="E47" s="47"/>
      <c r="G47" s="44"/>
    </row>
    <row r="48" spans="1:10" x14ac:dyDescent="0.25">
      <c r="B48" s="46" t="s">
        <v>49</v>
      </c>
      <c r="C48" s="57">
        <v>8807000</v>
      </c>
      <c r="E48" s="57">
        <f>8807000+87000+177000+89000-59000+1000</f>
        <v>9102000</v>
      </c>
      <c r="G48" s="57">
        <f>E48-C48</f>
        <v>295000</v>
      </c>
    </row>
    <row r="49" spans="2:8" ht="18.75" thickBot="1" x14ac:dyDescent="0.3">
      <c r="B49" s="44"/>
      <c r="C49" s="75"/>
      <c r="E49" s="76"/>
      <c r="G49" s="75"/>
    </row>
    <row r="50" spans="2:8" ht="18.75" thickTop="1" x14ac:dyDescent="0.25">
      <c r="B50" s="44"/>
      <c r="C50" s="77"/>
      <c r="E50" s="58"/>
    </row>
    <row r="51" spans="2:8" x14ac:dyDescent="0.25">
      <c r="C51" s="78"/>
      <c r="E51" s="78"/>
    </row>
    <row r="52" spans="2:8" x14ac:dyDescent="0.25">
      <c r="B52" s="46"/>
      <c r="C52" s="44"/>
      <c r="D52" s="44"/>
      <c r="E52" s="44"/>
      <c r="G52" s="44"/>
      <c r="H52" s="44"/>
    </row>
    <row r="53" spans="2:8" x14ac:dyDescent="0.25">
      <c r="C53" s="79"/>
      <c r="E53" s="78"/>
    </row>
    <row r="54" spans="2:8" x14ac:dyDescent="0.25">
      <c r="C54" s="36"/>
    </row>
    <row r="55" spans="2:8" x14ac:dyDescent="0.25">
      <c r="B55" s="46"/>
      <c r="E55" s="60"/>
    </row>
    <row r="57" spans="2:8" x14ac:dyDescent="0.25">
      <c r="E57" s="57"/>
    </row>
  </sheetData>
  <customSheetViews>
    <customSheetView guid="{CA1631C2-F325-11D6-AB9C-00B0D0BAF716}" scale="75" showPageBreaks="1" fitToPage="1" printArea="1" showRuler="0" topLeftCell="A48">
      <selection activeCell="A26" sqref="A26"/>
      <pageMargins left="1.0629921259842521" right="0.39370078740157483" top="0.98425196850393704" bottom="0.98425196850393704" header="0.51181102362204722" footer="0.51181102362204722"/>
      <pageSetup paperSize="9" scale="61" orientation="portrait" useFirstPageNumber="1" r:id="rId1"/>
      <headerFooter alignWithMargins="0">
        <oddFooter>&amp;C&amp;18&amp;P</oddFooter>
      </headerFooter>
    </customSheetView>
    <customSheetView guid="{061CE440-224A-11D7-AABC-0050DA1BA6DB}" scale="75" fitToPage="1" showRuler="0" topLeftCell="A45">
      <selection activeCell="E49" sqref="E49"/>
      <pageMargins left="1.0629921259842521" right="0.39370078740157483" top="0.98425196850393704" bottom="0.98425196850393704" header="0.51181102362204722" footer="0.51181102362204722"/>
      <pageSetup paperSize="9" scale="60" orientation="portrait" useFirstPageNumber="1" r:id="rId2"/>
      <headerFooter alignWithMargins="0">
        <oddHeader>&amp;R&amp;24APPENDIX B</oddHeader>
        <oddFooter>&amp;L&amp;12&amp;D  &amp;T&amp;C&amp;18&amp;P</oddFooter>
      </headerFooter>
    </customSheetView>
  </customSheetViews>
  <phoneticPr fontId="0" type="noConversion"/>
  <pageMargins left="0.9055118110236221" right="0.47244094488188981" top="0.98425196850393704" bottom="0.98425196850393704" header="0.59055118110236227" footer="0.59055118110236227"/>
  <pageSetup paperSize="9" scale="73" orientation="portrait" useFirstPageNumber="1" r:id="rId3"/>
  <headerFooter alignWithMargins="0">
    <oddFooter>&amp;C&amp;18&amp;P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2:H170"/>
  <sheetViews>
    <sheetView topLeftCell="A25" zoomScale="80" zoomScaleNormal="80" workbookViewId="0">
      <selection activeCell="O16" sqref="O16"/>
    </sheetView>
  </sheetViews>
  <sheetFormatPr defaultColWidth="9.28515625" defaultRowHeight="17.25" customHeight="1" x14ac:dyDescent="0.25"/>
  <cols>
    <col min="1" max="1" width="9.7109375" style="92" customWidth="1"/>
    <col min="2" max="2" width="54.42578125" style="19" customWidth="1"/>
    <col min="3" max="3" width="17.42578125" style="24" customWidth="1"/>
    <col min="4" max="4" width="9.7109375" style="24" customWidth="1"/>
    <col min="5" max="5" width="17.28515625" style="24" customWidth="1"/>
    <col min="6" max="6" width="10.28515625" style="24" customWidth="1"/>
    <col min="7" max="7" width="17.28515625" style="175" customWidth="1"/>
    <col min="8" max="8" width="10" style="19" customWidth="1"/>
    <col min="9" max="16384" width="9.28515625" style="19"/>
  </cols>
  <sheetData>
    <row r="2" spans="2:7" ht="41.25" customHeight="1" x14ac:dyDescent="0.25">
      <c r="B2" s="227" t="s">
        <v>18</v>
      </c>
      <c r="C2" s="228"/>
      <c r="D2" s="228"/>
      <c r="E2" s="228"/>
      <c r="F2" s="228"/>
      <c r="G2" s="229"/>
    </row>
    <row r="3" spans="2:7" ht="21.75" customHeight="1" x14ac:dyDescent="0.25">
      <c r="B3" s="198"/>
      <c r="C3" s="198"/>
      <c r="D3" s="198"/>
      <c r="E3" s="198"/>
      <c r="F3" s="198"/>
      <c r="G3" s="198"/>
    </row>
    <row r="5" spans="2:7" ht="17.25" customHeight="1" x14ac:dyDescent="0.25">
      <c r="B5" s="30"/>
      <c r="C5" s="104" t="s">
        <v>200</v>
      </c>
      <c r="D5" s="103"/>
      <c r="E5" s="104" t="s">
        <v>212</v>
      </c>
      <c r="G5" s="104"/>
    </row>
    <row r="6" spans="2:7" ht="17.25" customHeight="1" x14ac:dyDescent="0.25">
      <c r="C6" s="105" t="s">
        <v>95</v>
      </c>
      <c r="D6" s="103"/>
      <c r="E6" s="105" t="s">
        <v>40</v>
      </c>
      <c r="G6" s="105" t="s">
        <v>41</v>
      </c>
    </row>
    <row r="7" spans="2:7" ht="17.25" customHeight="1" x14ac:dyDescent="0.25">
      <c r="C7" s="106" t="s">
        <v>42</v>
      </c>
      <c r="D7" s="103"/>
      <c r="E7" s="106" t="s">
        <v>42</v>
      </c>
      <c r="G7" s="106" t="s">
        <v>28</v>
      </c>
    </row>
    <row r="8" spans="2:7" ht="17.25" customHeight="1" x14ac:dyDescent="0.25">
      <c r="G8" s="23"/>
    </row>
    <row r="9" spans="2:7" ht="17.25" customHeight="1" x14ac:dyDescent="0.3">
      <c r="B9" s="190" t="s">
        <v>54</v>
      </c>
      <c r="C9" s="23" t="s">
        <v>0</v>
      </c>
      <c r="E9" s="23" t="s">
        <v>0</v>
      </c>
      <c r="G9" s="23" t="s">
        <v>0</v>
      </c>
    </row>
    <row r="10" spans="2:7" ht="17.25" customHeight="1" x14ac:dyDescent="0.25">
      <c r="C10" s="23"/>
      <c r="G10" s="24"/>
    </row>
    <row r="11" spans="2:7" ht="17.25" customHeight="1" x14ac:dyDescent="0.3">
      <c r="B11" s="189" t="s">
        <v>156</v>
      </c>
      <c r="C11" s="23">
        <f>C75</f>
        <v>806900</v>
      </c>
      <c r="D11" s="23"/>
      <c r="E11" s="23">
        <f>E75</f>
        <v>776100</v>
      </c>
      <c r="G11" s="24">
        <f>C11-E11</f>
        <v>30800</v>
      </c>
    </row>
    <row r="12" spans="2:7" ht="17.25" customHeight="1" x14ac:dyDescent="0.3">
      <c r="B12" s="189"/>
      <c r="C12" s="23"/>
      <c r="E12" s="23"/>
      <c r="G12" s="24"/>
    </row>
    <row r="13" spans="2:7" ht="17.25" customHeight="1" x14ac:dyDescent="0.3">
      <c r="B13" s="189" t="s">
        <v>157</v>
      </c>
      <c r="C13" s="23">
        <f>C99</f>
        <v>61200</v>
      </c>
      <c r="D13" s="23"/>
      <c r="E13" s="23">
        <f>E99</f>
        <v>74500</v>
      </c>
      <c r="G13" s="24">
        <f>C13-E13</f>
        <v>-13300</v>
      </c>
    </row>
    <row r="14" spans="2:7" ht="17.25" customHeight="1" x14ac:dyDescent="0.3">
      <c r="B14" s="189"/>
      <c r="C14" s="23"/>
      <c r="E14" s="23"/>
      <c r="G14" s="24"/>
    </row>
    <row r="15" spans="2:7" ht="17.25" customHeight="1" x14ac:dyDescent="0.3">
      <c r="B15" s="189" t="s">
        <v>159</v>
      </c>
      <c r="C15" s="23">
        <f>C115</f>
        <v>122600</v>
      </c>
      <c r="E15" s="23">
        <f>E115</f>
        <v>120600</v>
      </c>
      <c r="G15" s="24">
        <f>C15-E15</f>
        <v>2000</v>
      </c>
    </row>
    <row r="16" spans="2:7" ht="17.25" customHeight="1" x14ac:dyDescent="0.3">
      <c r="B16" s="188"/>
      <c r="C16" s="23"/>
      <c r="E16" s="23"/>
      <c r="G16" s="24"/>
    </row>
    <row r="17" spans="1:8" ht="17.25" customHeight="1" x14ac:dyDescent="0.3">
      <c r="B17" s="188" t="s">
        <v>162</v>
      </c>
      <c r="C17" s="23">
        <f>C52</f>
        <v>450200</v>
      </c>
      <c r="D17" s="102"/>
      <c r="E17" s="23">
        <f>E52</f>
        <v>408500</v>
      </c>
      <c r="G17" s="24">
        <f>C17-E17</f>
        <v>41700</v>
      </c>
    </row>
    <row r="18" spans="1:8" ht="17.25" customHeight="1" x14ac:dyDescent="0.3">
      <c r="B18" s="188"/>
      <c r="C18" s="23"/>
      <c r="E18" s="23"/>
      <c r="G18" s="24"/>
    </row>
    <row r="19" spans="1:8" ht="17.25" customHeight="1" x14ac:dyDescent="0.3">
      <c r="B19" s="188" t="s">
        <v>158</v>
      </c>
      <c r="C19" s="23">
        <f>C146</f>
        <v>19400</v>
      </c>
      <c r="E19" s="23">
        <f>E146</f>
        <v>12100</v>
      </c>
      <c r="G19" s="24">
        <f>C19-E19</f>
        <v>7300</v>
      </c>
    </row>
    <row r="20" spans="1:8" ht="17.25" customHeight="1" x14ac:dyDescent="0.3">
      <c r="B20" s="188"/>
      <c r="C20" s="23"/>
      <c r="E20" s="23"/>
      <c r="G20" s="24"/>
    </row>
    <row r="21" spans="1:8" ht="17.25" customHeight="1" x14ac:dyDescent="0.3">
      <c r="B21" s="197" t="s">
        <v>161</v>
      </c>
      <c r="C21" s="23">
        <v>30000</v>
      </c>
      <c r="D21" s="23"/>
      <c r="E21" s="23">
        <f>E164</f>
        <v>30000</v>
      </c>
      <c r="G21" s="24">
        <f>C21-E21</f>
        <v>0</v>
      </c>
    </row>
    <row r="22" spans="1:8" ht="17.25" customHeight="1" x14ac:dyDescent="0.3">
      <c r="B22" s="197"/>
      <c r="C22" s="23"/>
      <c r="D22" s="23"/>
      <c r="E22" s="23"/>
      <c r="G22" s="24"/>
    </row>
    <row r="23" spans="1:8" ht="17.25" customHeight="1" x14ac:dyDescent="0.3">
      <c r="B23" s="188"/>
      <c r="C23" s="157"/>
      <c r="D23" s="102"/>
      <c r="E23" s="157"/>
      <c r="G23" s="157"/>
    </row>
    <row r="24" spans="1:8" ht="17.25" customHeight="1" x14ac:dyDescent="0.3">
      <c r="B24" s="117" t="s">
        <v>55</v>
      </c>
      <c r="C24" s="23">
        <f>SUM(C11:C22)</f>
        <v>1490300</v>
      </c>
      <c r="D24" s="113"/>
      <c r="E24" s="23">
        <f>SUM(E11:E22)</f>
        <v>1421800</v>
      </c>
      <c r="G24" s="23">
        <f>C24-E24</f>
        <v>68500</v>
      </c>
    </row>
    <row r="25" spans="1:8" ht="17.25" customHeight="1" thickBot="1" x14ac:dyDescent="0.3">
      <c r="B25" s="171"/>
      <c r="C25" s="116"/>
      <c r="D25" s="102"/>
      <c r="E25" s="116"/>
      <c r="G25" s="116"/>
    </row>
    <row r="26" spans="1:8" ht="17.25" customHeight="1" thickTop="1" x14ac:dyDescent="0.25">
      <c r="B26" s="171"/>
      <c r="D26" s="102"/>
      <c r="G26" s="196"/>
    </row>
    <row r="27" spans="1:8" ht="17.25" customHeight="1" x14ac:dyDescent="0.25">
      <c r="B27" s="4"/>
    </row>
    <row r="28" spans="1:8" ht="17.25" customHeight="1" x14ac:dyDescent="0.25">
      <c r="B28" s="4"/>
      <c r="H28" s="17"/>
    </row>
    <row r="29" spans="1:8" s="17" customFormat="1" ht="17.25" customHeight="1" x14ac:dyDescent="0.25">
      <c r="A29" s="93"/>
      <c r="B29" s="4"/>
      <c r="C29" s="24"/>
      <c r="D29" s="24"/>
      <c r="E29" s="24"/>
      <c r="F29" s="24"/>
      <c r="G29" s="24"/>
      <c r="H29" s="19"/>
    </row>
    <row r="30" spans="1:8" ht="17.25" customHeight="1" x14ac:dyDescent="0.25">
      <c r="B30" s="4"/>
      <c r="G30" s="24"/>
    </row>
    <row r="31" spans="1:8" ht="17.25" customHeight="1" x14ac:dyDescent="0.25">
      <c r="B31" s="4"/>
      <c r="G31" s="24"/>
    </row>
    <row r="32" spans="1:8" ht="17.25" customHeight="1" x14ac:dyDescent="0.25">
      <c r="B32" s="4"/>
      <c r="G32" s="24"/>
    </row>
    <row r="33" spans="1:7" ht="17.25" customHeight="1" x14ac:dyDescent="0.25">
      <c r="B33" s="4"/>
      <c r="G33" s="103"/>
    </row>
    <row r="34" spans="1:7" ht="17.25" customHeight="1" x14ac:dyDescent="0.25">
      <c r="B34" s="4"/>
    </row>
    <row r="35" spans="1:7" ht="17.25" customHeight="1" x14ac:dyDescent="0.25">
      <c r="B35" s="4"/>
      <c r="G35" s="24"/>
    </row>
    <row r="36" spans="1:7" ht="17.25" customHeight="1" x14ac:dyDescent="0.25">
      <c r="G36" s="196"/>
    </row>
    <row r="37" spans="1:7" ht="27.75" x14ac:dyDescent="0.25">
      <c r="B37" s="227" t="s">
        <v>18</v>
      </c>
      <c r="C37" s="228"/>
      <c r="D37" s="228"/>
      <c r="E37" s="228"/>
      <c r="F37" s="228"/>
      <c r="G37" s="229"/>
    </row>
    <row r="38" spans="1:7" ht="17.25" customHeight="1" x14ac:dyDescent="0.25">
      <c r="B38" s="198"/>
      <c r="C38" s="198"/>
      <c r="D38" s="198"/>
      <c r="E38" s="198"/>
      <c r="F38" s="198"/>
      <c r="G38" s="198"/>
    </row>
    <row r="40" spans="1:7" ht="17.25" customHeight="1" x14ac:dyDescent="0.25">
      <c r="B40" s="30"/>
      <c r="C40" s="104" t="s">
        <v>200</v>
      </c>
      <c r="D40" s="103"/>
      <c r="E40" s="104" t="s">
        <v>212</v>
      </c>
      <c r="G40" s="104"/>
    </row>
    <row r="41" spans="1:7" ht="17.25" customHeight="1" x14ac:dyDescent="0.25">
      <c r="C41" s="105" t="s">
        <v>95</v>
      </c>
      <c r="D41" s="103"/>
      <c r="E41" s="105" t="s">
        <v>40</v>
      </c>
      <c r="G41" s="105" t="s">
        <v>41</v>
      </c>
    </row>
    <row r="42" spans="1:7" ht="18" x14ac:dyDescent="0.25">
      <c r="A42" s="86"/>
      <c r="C42" s="106" t="s">
        <v>42</v>
      </c>
      <c r="D42" s="103"/>
      <c r="E42" s="106" t="s">
        <v>42</v>
      </c>
      <c r="G42" s="106" t="s">
        <v>28</v>
      </c>
    </row>
    <row r="43" spans="1:7" ht="18" x14ac:dyDescent="0.25">
      <c r="A43" s="86"/>
      <c r="B43" s="169"/>
      <c r="G43" s="23"/>
    </row>
    <row r="44" spans="1:7" ht="17.25" customHeight="1" x14ac:dyDescent="0.3">
      <c r="B44" s="190" t="s">
        <v>162</v>
      </c>
      <c r="C44" s="23" t="s">
        <v>0</v>
      </c>
      <c r="E44" s="23" t="s">
        <v>0</v>
      </c>
      <c r="F44" s="23"/>
      <c r="G44" s="23" t="s">
        <v>0</v>
      </c>
    </row>
    <row r="45" spans="1:7" ht="17.25" customHeight="1" x14ac:dyDescent="0.25">
      <c r="A45" s="32"/>
      <c r="G45" s="24"/>
    </row>
    <row r="46" spans="1:7" ht="17.25" customHeight="1" x14ac:dyDescent="0.25">
      <c r="A46" s="32"/>
      <c r="B46" s="4" t="s">
        <v>6</v>
      </c>
      <c r="C46" s="23">
        <v>423200</v>
      </c>
      <c r="E46" s="23">
        <f>423200-1000+3400-27600+10900-24000</f>
        <v>384900</v>
      </c>
      <c r="G46" s="24">
        <f t="shared" ref="G46:G52" si="0">C46-E46</f>
        <v>38300</v>
      </c>
    </row>
    <row r="47" spans="1:7" ht="17.25" customHeight="1" x14ac:dyDescent="0.25">
      <c r="A47" s="29"/>
      <c r="B47" s="4" t="s">
        <v>82</v>
      </c>
      <c r="C47" s="23">
        <v>300</v>
      </c>
      <c r="E47" s="23">
        <f>300-200</f>
        <v>100</v>
      </c>
      <c r="G47" s="24">
        <f t="shared" si="0"/>
        <v>200</v>
      </c>
    </row>
    <row r="48" spans="1:7" ht="17.25" customHeight="1" x14ac:dyDescent="0.25">
      <c r="A48" s="94"/>
      <c r="B48" s="4" t="s">
        <v>56</v>
      </c>
      <c r="C48" s="23">
        <v>26700</v>
      </c>
      <c r="E48" s="23">
        <f>26700+700-3900</f>
        <v>23500</v>
      </c>
      <c r="G48" s="24">
        <f t="shared" si="0"/>
        <v>3200</v>
      </c>
    </row>
    <row r="49" spans="1:7" ht="17.25" customHeight="1" x14ac:dyDescent="0.25">
      <c r="A49" s="94"/>
      <c r="B49" s="4" t="s">
        <v>57</v>
      </c>
      <c r="C49" s="113">
        <v>0</v>
      </c>
      <c r="D49" s="102"/>
      <c r="E49" s="113">
        <f>31800-1300-30500</f>
        <v>0</v>
      </c>
      <c r="F49" s="102"/>
      <c r="G49" s="102">
        <f t="shared" si="0"/>
        <v>0</v>
      </c>
    </row>
    <row r="50" spans="1:7" ht="17.25" customHeight="1" x14ac:dyDescent="0.25">
      <c r="A50" s="94"/>
      <c r="B50" s="7"/>
      <c r="C50" s="112"/>
      <c r="D50" s="102"/>
      <c r="E50" s="112"/>
      <c r="G50" s="128"/>
    </row>
    <row r="51" spans="1:7" ht="17.25" customHeight="1" x14ac:dyDescent="0.25">
      <c r="A51" s="27"/>
      <c r="B51" s="20"/>
      <c r="C51" s="113"/>
      <c r="D51" s="102"/>
      <c r="E51" s="113"/>
      <c r="G51" s="113"/>
    </row>
    <row r="52" spans="1:7" ht="17.25" customHeight="1" x14ac:dyDescent="0.25">
      <c r="A52" s="27"/>
      <c r="B52" s="11" t="s">
        <v>55</v>
      </c>
      <c r="C52" s="23">
        <f>SUM(C46:C50)</f>
        <v>450200</v>
      </c>
      <c r="E52" s="23">
        <f>SUM(E46:E50)</f>
        <v>408500</v>
      </c>
      <c r="G52" s="23">
        <f t="shared" si="0"/>
        <v>41700</v>
      </c>
    </row>
    <row r="53" spans="1:7" ht="17.25" customHeight="1" thickBot="1" x14ac:dyDescent="0.3">
      <c r="A53" s="27"/>
      <c r="C53" s="116"/>
      <c r="D53" s="102"/>
      <c r="E53" s="116"/>
      <c r="G53" s="116"/>
    </row>
    <row r="54" spans="1:7" ht="17.25" customHeight="1" thickTop="1" x14ac:dyDescent="0.25">
      <c r="A54" s="27"/>
      <c r="D54" s="102"/>
      <c r="G54" s="24"/>
    </row>
    <row r="55" spans="1:7" ht="17.25" customHeight="1" x14ac:dyDescent="0.25">
      <c r="A55" s="27"/>
      <c r="B55" s="86"/>
      <c r="D55" s="102"/>
      <c r="G55" s="24"/>
    </row>
    <row r="56" spans="1:7" ht="27.75" x14ac:dyDescent="0.25">
      <c r="A56" s="27"/>
      <c r="B56" s="227" t="s">
        <v>18</v>
      </c>
      <c r="C56" s="228"/>
      <c r="D56" s="228"/>
      <c r="E56" s="228"/>
      <c r="F56" s="228"/>
      <c r="G56" s="229"/>
    </row>
    <row r="57" spans="1:7" ht="17.25" customHeight="1" x14ac:dyDescent="0.25">
      <c r="A57" s="27"/>
      <c r="B57" s="198"/>
      <c r="C57" s="198"/>
      <c r="D57" s="198"/>
      <c r="E57" s="198"/>
      <c r="F57" s="198"/>
      <c r="G57" s="198"/>
    </row>
    <row r="58" spans="1:7" ht="17.25" customHeight="1" x14ac:dyDescent="0.25">
      <c r="B58" s="86"/>
      <c r="D58" s="102"/>
      <c r="G58" s="24"/>
    </row>
    <row r="59" spans="1:7" ht="17.25" customHeight="1" x14ac:dyDescent="0.25">
      <c r="B59" s="30"/>
      <c r="C59" s="104" t="s">
        <v>200</v>
      </c>
      <c r="D59" s="103"/>
      <c r="E59" s="104" t="s">
        <v>212</v>
      </c>
      <c r="G59" s="104"/>
    </row>
    <row r="60" spans="1:7" ht="17.25" customHeight="1" x14ac:dyDescent="0.25">
      <c r="A60" s="86"/>
      <c r="C60" s="105" t="s">
        <v>95</v>
      </c>
      <c r="D60" s="103"/>
      <c r="E60" s="105" t="s">
        <v>40</v>
      </c>
      <c r="G60" s="105" t="s">
        <v>41</v>
      </c>
    </row>
    <row r="61" spans="1:7" ht="18" x14ac:dyDescent="0.25">
      <c r="A61" s="86"/>
      <c r="C61" s="106" t="s">
        <v>42</v>
      </c>
      <c r="D61" s="103"/>
      <c r="E61" s="106" t="s">
        <v>42</v>
      </c>
      <c r="G61" s="106" t="s">
        <v>28</v>
      </c>
    </row>
    <row r="62" spans="1:7" ht="21.75" customHeight="1" x14ac:dyDescent="0.25">
      <c r="A62" s="86"/>
      <c r="G62" s="23"/>
    </row>
    <row r="63" spans="1:7" ht="17.25" customHeight="1" x14ac:dyDescent="0.3">
      <c r="A63" s="86"/>
      <c r="B63" s="160" t="s">
        <v>214</v>
      </c>
      <c r="C63" s="23" t="s">
        <v>0</v>
      </c>
      <c r="E63" s="23" t="s">
        <v>0</v>
      </c>
      <c r="F63" s="23"/>
      <c r="G63" s="23" t="s">
        <v>0</v>
      </c>
    </row>
    <row r="64" spans="1:7" ht="17.25" customHeight="1" x14ac:dyDescent="0.25">
      <c r="G64" s="24"/>
    </row>
    <row r="65" spans="1:7" ht="17.25" customHeight="1" x14ac:dyDescent="0.25">
      <c r="B65" s="4" t="s">
        <v>6</v>
      </c>
      <c r="C65" s="23">
        <v>733600</v>
      </c>
      <c r="E65" s="23">
        <f>733600+18700-500-12100+300+34400-49600</f>
        <v>724800</v>
      </c>
      <c r="G65" s="24">
        <f>C65-E65</f>
        <v>8800</v>
      </c>
    </row>
    <row r="66" spans="1:7" ht="17.25" customHeight="1" x14ac:dyDescent="0.25">
      <c r="B66" s="4" t="s">
        <v>82</v>
      </c>
      <c r="C66" s="23">
        <v>300</v>
      </c>
      <c r="E66" s="23">
        <f>300-100</f>
        <v>200</v>
      </c>
      <c r="G66" s="24">
        <f>C66-E66</f>
        <v>100</v>
      </c>
    </row>
    <row r="67" spans="1:7" ht="17.25" customHeight="1" x14ac:dyDescent="0.25">
      <c r="B67" s="4" t="s">
        <v>56</v>
      </c>
      <c r="C67" s="113">
        <v>81400</v>
      </c>
      <c r="D67" s="102"/>
      <c r="E67" s="113">
        <f>81400+2200+3000-7100</f>
        <v>79500</v>
      </c>
      <c r="G67" s="102">
        <f>C67-E67</f>
        <v>1900</v>
      </c>
    </row>
    <row r="68" spans="1:7" ht="18" x14ac:dyDescent="0.25">
      <c r="B68" s="7"/>
      <c r="C68" s="113"/>
      <c r="D68" s="102"/>
      <c r="E68" s="113"/>
      <c r="G68" s="102"/>
    </row>
    <row r="69" spans="1:7" ht="17.25" customHeight="1" x14ac:dyDescent="0.25">
      <c r="B69" s="88"/>
      <c r="C69" s="109"/>
      <c r="D69" s="102"/>
      <c r="E69" s="109"/>
      <c r="G69" s="109"/>
    </row>
    <row r="70" spans="1:7" ht="17.25" customHeight="1" x14ac:dyDescent="0.25">
      <c r="A70" s="27"/>
      <c r="B70" s="17" t="s">
        <v>67</v>
      </c>
      <c r="C70" s="113">
        <f>SUM(C64:C68)</f>
        <v>815300</v>
      </c>
      <c r="D70" s="113"/>
      <c r="E70" s="113">
        <f>SUM(E64:E68)</f>
        <v>804500</v>
      </c>
      <c r="G70" s="113">
        <f>C70-E70</f>
        <v>10800</v>
      </c>
    </row>
    <row r="71" spans="1:7" ht="17.25" customHeight="1" x14ac:dyDescent="0.25">
      <c r="A71" s="27"/>
      <c r="B71" s="17"/>
      <c r="C71" s="113"/>
      <c r="D71" s="113"/>
      <c r="E71" s="113"/>
      <c r="G71" s="113"/>
    </row>
    <row r="72" spans="1:7" ht="17.25" customHeight="1" x14ac:dyDescent="0.25">
      <c r="A72" s="27"/>
      <c r="B72" s="154" t="s">
        <v>26</v>
      </c>
      <c r="C72" s="113">
        <v>8400</v>
      </c>
      <c r="D72" s="113"/>
      <c r="E72" s="113">
        <f>8400+20000</f>
        <v>28400</v>
      </c>
      <c r="G72" s="113">
        <f>E72-C72</f>
        <v>20000</v>
      </c>
    </row>
    <row r="73" spans="1:7" ht="17.25" customHeight="1" x14ac:dyDescent="0.25">
      <c r="A73" s="27"/>
      <c r="B73" s="154"/>
      <c r="C73" s="112"/>
      <c r="D73" s="128"/>
      <c r="E73" s="112"/>
      <c r="G73" s="112"/>
    </row>
    <row r="74" spans="1:7" ht="17.25" customHeight="1" x14ac:dyDescent="0.25">
      <c r="A74" s="94"/>
      <c r="B74" s="88"/>
      <c r="C74" s="157"/>
      <c r="D74" s="102"/>
      <c r="E74" s="157"/>
      <c r="G74" s="157"/>
    </row>
    <row r="75" spans="1:7" ht="17.25" customHeight="1" x14ac:dyDescent="0.25">
      <c r="A75" s="20"/>
      <c r="B75" s="11" t="s">
        <v>55</v>
      </c>
      <c r="C75" s="113">
        <f>C70-C72-C73</f>
        <v>806900</v>
      </c>
      <c r="D75" s="113"/>
      <c r="E75" s="113">
        <f>E70-E72-E73</f>
        <v>776100</v>
      </c>
      <c r="G75" s="113">
        <f>SUM(G69:G72)</f>
        <v>30800</v>
      </c>
    </row>
    <row r="76" spans="1:7" ht="17.25" customHeight="1" thickBot="1" x14ac:dyDescent="0.3">
      <c r="A76" s="93"/>
      <c r="C76" s="110"/>
      <c r="D76" s="113"/>
      <c r="E76" s="110"/>
      <c r="G76" s="110"/>
    </row>
    <row r="77" spans="1:7" ht="17.25" customHeight="1" thickTop="1" x14ac:dyDescent="0.25">
      <c r="A77" s="27"/>
      <c r="B77" s="86"/>
      <c r="D77" s="102"/>
      <c r="G77" s="24"/>
    </row>
    <row r="78" spans="1:7" ht="17.25" customHeight="1" x14ac:dyDescent="0.25">
      <c r="A78" s="93"/>
      <c r="B78" s="86"/>
      <c r="D78" s="102"/>
      <c r="G78" s="24"/>
    </row>
    <row r="79" spans="1:7" ht="27.75" x14ac:dyDescent="0.25">
      <c r="A79" s="94"/>
      <c r="B79" s="227" t="s">
        <v>18</v>
      </c>
      <c r="C79" s="228"/>
      <c r="D79" s="228"/>
      <c r="E79" s="228"/>
      <c r="F79" s="228"/>
      <c r="G79" s="229"/>
    </row>
    <row r="80" spans="1:7" ht="17.25" customHeight="1" x14ac:dyDescent="0.25">
      <c r="A80" s="27"/>
      <c r="B80" s="86"/>
      <c r="D80" s="102"/>
      <c r="G80" s="24"/>
    </row>
    <row r="81" spans="1:7" ht="17.25" customHeight="1" x14ac:dyDescent="0.25">
      <c r="B81" s="86"/>
      <c r="D81" s="102"/>
      <c r="G81" s="24"/>
    </row>
    <row r="82" spans="1:7" ht="17.25" customHeight="1" x14ac:dyDescent="0.25">
      <c r="A82" s="86"/>
      <c r="B82" s="86"/>
      <c r="C82" s="104" t="s">
        <v>200</v>
      </c>
      <c r="D82" s="103"/>
      <c r="E82" s="104" t="s">
        <v>212</v>
      </c>
      <c r="G82" s="104"/>
    </row>
    <row r="83" spans="1:7" ht="17.25" customHeight="1" x14ac:dyDescent="0.25">
      <c r="A83" s="86"/>
      <c r="B83" s="86"/>
      <c r="C83" s="105" t="s">
        <v>95</v>
      </c>
      <c r="D83" s="103"/>
      <c r="E83" s="105" t="s">
        <v>40</v>
      </c>
      <c r="G83" s="105" t="s">
        <v>41</v>
      </c>
    </row>
    <row r="84" spans="1:7" ht="18" x14ac:dyDescent="0.25">
      <c r="A84" s="86"/>
      <c r="B84" s="86"/>
      <c r="C84" s="106" t="s">
        <v>42</v>
      </c>
      <c r="D84" s="103"/>
      <c r="E84" s="106" t="s">
        <v>42</v>
      </c>
      <c r="G84" s="106" t="s">
        <v>28</v>
      </c>
    </row>
    <row r="85" spans="1:7" ht="17.25" customHeight="1" x14ac:dyDescent="0.25">
      <c r="A85" s="86"/>
      <c r="B85" s="86"/>
      <c r="D85" s="102"/>
      <c r="G85" s="24"/>
    </row>
    <row r="86" spans="1:7" ht="17.25" customHeight="1" x14ac:dyDescent="0.3">
      <c r="A86" s="86"/>
      <c r="B86" s="160" t="s">
        <v>157</v>
      </c>
      <c r="C86" s="23" t="s">
        <v>0</v>
      </c>
      <c r="E86" s="23" t="s">
        <v>0</v>
      </c>
      <c r="G86" s="23" t="s">
        <v>0</v>
      </c>
    </row>
    <row r="87" spans="1:7" ht="17.25" customHeight="1" x14ac:dyDescent="0.25">
      <c r="A87" s="86"/>
      <c r="G87" s="24"/>
    </row>
    <row r="88" spans="1:7" ht="17.25" customHeight="1" x14ac:dyDescent="0.25">
      <c r="A88" s="86"/>
      <c r="B88" s="4" t="s">
        <v>6</v>
      </c>
      <c r="C88" s="23">
        <v>60000</v>
      </c>
      <c r="E88" s="23">
        <f>60000+11700+2300</f>
        <v>74000</v>
      </c>
      <c r="G88" s="23">
        <f>C88-E88</f>
        <v>-14000</v>
      </c>
    </row>
    <row r="89" spans="1:7" ht="17.25" customHeight="1" x14ac:dyDescent="0.25">
      <c r="A89" s="86"/>
      <c r="B89" s="4" t="s">
        <v>56</v>
      </c>
      <c r="C89" s="23">
        <v>1200</v>
      </c>
      <c r="E89" s="23">
        <f>1200+200-900</f>
        <v>500</v>
      </c>
      <c r="G89" s="23">
        <f>C89-E89</f>
        <v>700</v>
      </c>
    </row>
    <row r="90" spans="1:7" ht="17.25" customHeight="1" x14ac:dyDescent="0.25">
      <c r="A90" s="86"/>
      <c r="B90" s="4" t="s">
        <v>57</v>
      </c>
      <c r="C90" s="23">
        <v>7200</v>
      </c>
      <c r="E90" s="23">
        <v>7200</v>
      </c>
      <c r="G90" s="23">
        <f>C90-E90</f>
        <v>0</v>
      </c>
    </row>
    <row r="91" spans="1:7" ht="17.25" customHeight="1" x14ac:dyDescent="0.25">
      <c r="A91" s="86"/>
      <c r="B91" s="88"/>
      <c r="C91" s="109"/>
      <c r="D91" s="102"/>
      <c r="E91" s="109"/>
      <c r="G91" s="109"/>
    </row>
    <row r="92" spans="1:7" ht="17.25" customHeight="1" x14ac:dyDescent="0.25">
      <c r="A92" s="86"/>
      <c r="B92" s="97" t="s">
        <v>67</v>
      </c>
      <c r="C92" s="113">
        <f>SUM(C88:C90)</f>
        <v>68400</v>
      </c>
      <c r="D92" s="102"/>
      <c r="E92" s="113">
        <f>SUM(E88:E90)</f>
        <v>81700</v>
      </c>
      <c r="G92" s="113">
        <f>C92-E92</f>
        <v>-13300</v>
      </c>
    </row>
    <row r="93" spans="1:7" ht="17.25" customHeight="1" x14ac:dyDescent="0.25">
      <c r="A93" s="86"/>
      <c r="B93" s="88"/>
      <c r="C93" s="113"/>
      <c r="D93" s="102"/>
      <c r="E93" s="113"/>
      <c r="G93" s="113"/>
    </row>
    <row r="94" spans="1:7" ht="17.25" customHeight="1" x14ac:dyDescent="0.25">
      <c r="A94" s="86"/>
      <c r="B94" s="88" t="s">
        <v>206</v>
      </c>
      <c r="C94" s="113">
        <v>7200</v>
      </c>
      <c r="D94" s="102"/>
      <c r="E94" s="113">
        <v>7200</v>
      </c>
      <c r="G94" s="113">
        <f>E94-C94</f>
        <v>0</v>
      </c>
    </row>
    <row r="95" spans="1:7" ht="17.25" customHeight="1" x14ac:dyDescent="0.25">
      <c r="A95" s="86"/>
      <c r="B95" s="88"/>
      <c r="C95" s="205"/>
      <c r="D95" s="102"/>
      <c r="E95" s="205"/>
      <c r="G95" s="205"/>
    </row>
    <row r="96" spans="1:7" ht="17.25" customHeight="1" x14ac:dyDescent="0.25">
      <c r="A96" s="86"/>
      <c r="B96" s="88" t="s">
        <v>58</v>
      </c>
      <c r="C96" s="113">
        <f>C94</f>
        <v>7200</v>
      </c>
      <c r="D96" s="102"/>
      <c r="E96" s="113">
        <f>E94</f>
        <v>7200</v>
      </c>
      <c r="G96" s="113">
        <f>G94</f>
        <v>0</v>
      </c>
    </row>
    <row r="97" spans="1:7" ht="17.25" customHeight="1" x14ac:dyDescent="0.25">
      <c r="A97" s="86"/>
      <c r="B97" s="88"/>
      <c r="C97" s="113"/>
      <c r="D97" s="102"/>
      <c r="E97" s="113"/>
      <c r="G97" s="113"/>
    </row>
    <row r="98" spans="1:7" ht="17.25" customHeight="1" x14ac:dyDescent="0.25">
      <c r="A98" s="86"/>
      <c r="B98" s="88"/>
      <c r="C98" s="205"/>
      <c r="D98" s="102"/>
      <c r="E98" s="205"/>
      <c r="G98" s="205"/>
    </row>
    <row r="99" spans="1:7" ht="17.25" customHeight="1" x14ac:dyDescent="0.25">
      <c r="A99" s="86"/>
      <c r="B99" s="11" t="s">
        <v>55</v>
      </c>
      <c r="C99" s="113">
        <f>C92-C96</f>
        <v>61200</v>
      </c>
      <c r="D99" s="102"/>
      <c r="E99" s="113">
        <f>E92-E96</f>
        <v>74500</v>
      </c>
      <c r="G99" s="113">
        <f>C99-E99</f>
        <v>-13300</v>
      </c>
    </row>
    <row r="100" spans="1:7" ht="17.25" customHeight="1" thickBot="1" x14ac:dyDescent="0.3">
      <c r="A100" s="86"/>
      <c r="B100" s="172"/>
      <c r="C100" s="116"/>
      <c r="E100" s="116"/>
      <c r="G100" s="116"/>
    </row>
    <row r="101" spans="1:7" ht="17.25" customHeight="1" thickTop="1" x14ac:dyDescent="0.25">
      <c r="A101" s="86"/>
      <c r="B101" s="172"/>
      <c r="C101" s="102"/>
      <c r="E101" s="102"/>
      <c r="G101" s="24"/>
    </row>
    <row r="102" spans="1:7" ht="17.25" customHeight="1" x14ac:dyDescent="0.25">
      <c r="A102" s="86"/>
      <c r="B102" s="172"/>
      <c r="C102" s="102"/>
      <c r="E102" s="102"/>
      <c r="G102" s="24"/>
    </row>
    <row r="103" spans="1:7" ht="17.25" customHeight="1" x14ac:dyDescent="0.25">
      <c r="A103" s="86"/>
      <c r="B103" s="172"/>
      <c r="C103" s="102"/>
      <c r="E103" s="102"/>
      <c r="G103" s="24"/>
    </row>
    <row r="104" spans="1:7" ht="17.25" customHeight="1" x14ac:dyDescent="0.25">
      <c r="A104" s="86"/>
      <c r="B104" s="86"/>
      <c r="C104" s="104" t="s">
        <v>200</v>
      </c>
      <c r="D104" s="103"/>
      <c r="E104" s="104" t="s">
        <v>212</v>
      </c>
      <c r="G104" s="104"/>
    </row>
    <row r="105" spans="1:7" ht="17.25" customHeight="1" x14ac:dyDescent="0.25">
      <c r="A105" s="86"/>
      <c r="B105" s="86"/>
      <c r="C105" s="105" t="s">
        <v>95</v>
      </c>
      <c r="D105" s="103"/>
      <c r="E105" s="105" t="s">
        <v>40</v>
      </c>
      <c r="G105" s="105" t="s">
        <v>41</v>
      </c>
    </row>
    <row r="106" spans="1:7" ht="17.25" customHeight="1" x14ac:dyDescent="0.25">
      <c r="A106" s="86"/>
      <c r="B106" s="86"/>
      <c r="C106" s="106" t="s">
        <v>42</v>
      </c>
      <c r="D106" s="103"/>
      <c r="E106" s="106" t="s">
        <v>42</v>
      </c>
      <c r="G106" s="106" t="s">
        <v>28</v>
      </c>
    </row>
    <row r="107" spans="1:7" ht="17.25" customHeight="1" x14ac:dyDescent="0.25">
      <c r="A107" s="86"/>
      <c r="B107" s="86"/>
      <c r="D107" s="102"/>
      <c r="G107" s="24"/>
    </row>
    <row r="108" spans="1:7" ht="17.25" customHeight="1" x14ac:dyDescent="0.3">
      <c r="A108" s="86"/>
      <c r="B108" s="160" t="s">
        <v>159</v>
      </c>
      <c r="C108" s="23" t="s">
        <v>0</v>
      </c>
      <c r="E108" s="23" t="s">
        <v>0</v>
      </c>
      <c r="G108" s="23" t="s">
        <v>0</v>
      </c>
    </row>
    <row r="109" spans="1:7" ht="17.25" customHeight="1" x14ac:dyDescent="0.25">
      <c r="A109" s="86"/>
      <c r="G109" s="24"/>
    </row>
    <row r="110" spans="1:7" ht="17.25" customHeight="1" x14ac:dyDescent="0.25">
      <c r="A110" s="86"/>
      <c r="B110" s="4" t="s">
        <v>6</v>
      </c>
      <c r="C110" s="23">
        <v>102100</v>
      </c>
      <c r="E110" s="23">
        <f>98100+600+200+3200+400-36500-3800</f>
        <v>62200</v>
      </c>
      <c r="G110" s="24">
        <f>C110-E110</f>
        <v>39900</v>
      </c>
    </row>
    <row r="111" spans="1:7" ht="17.25" customHeight="1" x14ac:dyDescent="0.25">
      <c r="A111" s="86"/>
      <c r="B111" s="4" t="s">
        <v>56</v>
      </c>
      <c r="C111" s="23">
        <v>800</v>
      </c>
      <c r="E111" s="23">
        <f>700+100-800</f>
        <v>0</v>
      </c>
      <c r="G111" s="24">
        <f>C111-E111</f>
        <v>800</v>
      </c>
    </row>
    <row r="112" spans="1:7" ht="17.25" customHeight="1" x14ac:dyDescent="0.25">
      <c r="A112" s="86"/>
      <c r="B112" s="4" t="s">
        <v>57</v>
      </c>
      <c r="C112" s="23">
        <v>19700</v>
      </c>
      <c r="E112" s="23">
        <f>19700+38700</f>
        <v>58400</v>
      </c>
      <c r="G112" s="24">
        <f>C112-E112</f>
        <v>-38700</v>
      </c>
    </row>
    <row r="113" spans="1:7" ht="17.25" customHeight="1" x14ac:dyDescent="0.25">
      <c r="A113" s="86"/>
      <c r="B113" s="7"/>
      <c r="C113" s="23"/>
      <c r="E113" s="23"/>
      <c r="G113" s="24"/>
    </row>
    <row r="114" spans="1:7" ht="17.25" customHeight="1" x14ac:dyDescent="0.25">
      <c r="B114" s="88"/>
      <c r="C114" s="109"/>
      <c r="D114" s="102"/>
      <c r="E114" s="109"/>
      <c r="G114" s="109"/>
    </row>
    <row r="115" spans="1:7" ht="17.25" customHeight="1" x14ac:dyDescent="0.25">
      <c r="B115" s="11" t="s">
        <v>55</v>
      </c>
      <c r="C115" s="113">
        <f>SUM(C110:C113)</f>
        <v>122600</v>
      </c>
      <c r="D115" s="102"/>
      <c r="E115" s="113">
        <f>SUM(E110:E112)</f>
        <v>120600</v>
      </c>
      <c r="G115" s="113">
        <f>C115-E115</f>
        <v>2000</v>
      </c>
    </row>
    <row r="116" spans="1:7" ht="17.25" customHeight="1" thickBot="1" x14ac:dyDescent="0.3">
      <c r="B116" s="172"/>
      <c r="C116" s="116"/>
      <c r="E116" s="116"/>
      <c r="G116" s="116"/>
    </row>
    <row r="117" spans="1:7" ht="17.25" customHeight="1" thickTop="1" x14ac:dyDescent="0.25">
      <c r="B117" s="172"/>
      <c r="C117" s="102"/>
      <c r="E117" s="102"/>
      <c r="G117" s="102"/>
    </row>
    <row r="118" spans="1:7" ht="17.25" customHeight="1" x14ac:dyDescent="0.25">
      <c r="B118" s="172"/>
      <c r="C118" s="102"/>
      <c r="E118" s="102"/>
      <c r="G118" s="102"/>
    </row>
    <row r="119" spans="1:7" ht="17.25" customHeight="1" x14ac:dyDescent="0.25">
      <c r="A119" s="94"/>
      <c r="B119" s="172"/>
      <c r="C119" s="102"/>
      <c r="E119" s="102"/>
      <c r="G119" s="102"/>
    </row>
    <row r="120" spans="1:7" ht="27.75" x14ac:dyDescent="0.25">
      <c r="A120" s="94"/>
      <c r="B120" s="227" t="s">
        <v>18</v>
      </c>
      <c r="C120" s="228"/>
      <c r="D120" s="228"/>
      <c r="E120" s="228"/>
      <c r="F120" s="228"/>
      <c r="G120" s="229"/>
    </row>
    <row r="121" spans="1:7" ht="17.25" customHeight="1" x14ac:dyDescent="0.25">
      <c r="B121" s="198"/>
      <c r="C121" s="198"/>
      <c r="D121" s="198"/>
      <c r="E121" s="198"/>
      <c r="F121" s="198"/>
      <c r="G121" s="198"/>
    </row>
    <row r="122" spans="1:7" ht="17.25" customHeight="1" x14ac:dyDescent="0.35">
      <c r="B122" s="168"/>
      <c r="G122" s="24"/>
    </row>
    <row r="123" spans="1:7" ht="17.25" customHeight="1" x14ac:dyDescent="0.25">
      <c r="B123" s="30"/>
      <c r="C123" s="104" t="s">
        <v>200</v>
      </c>
      <c r="D123" s="103"/>
      <c r="E123" s="104" t="s">
        <v>212</v>
      </c>
      <c r="G123" s="104"/>
    </row>
    <row r="124" spans="1:7" ht="17.25" customHeight="1" x14ac:dyDescent="0.25">
      <c r="C124" s="105" t="s">
        <v>95</v>
      </c>
      <c r="D124" s="103"/>
      <c r="E124" s="105" t="s">
        <v>40</v>
      </c>
      <c r="G124" s="105" t="s">
        <v>41</v>
      </c>
    </row>
    <row r="125" spans="1:7" ht="18" x14ac:dyDescent="0.25">
      <c r="C125" s="106" t="s">
        <v>42</v>
      </c>
      <c r="D125" s="103"/>
      <c r="E125" s="106" t="s">
        <v>42</v>
      </c>
      <c r="G125" s="106" t="s">
        <v>28</v>
      </c>
    </row>
    <row r="126" spans="1:7" ht="18" customHeight="1" x14ac:dyDescent="0.25">
      <c r="G126" s="24"/>
    </row>
    <row r="127" spans="1:7" ht="20.25" x14ac:dyDescent="0.3">
      <c r="B127" s="190" t="s">
        <v>158</v>
      </c>
      <c r="C127" s="23" t="s">
        <v>0</v>
      </c>
      <c r="E127" s="23" t="s">
        <v>0</v>
      </c>
      <c r="F127" s="23"/>
      <c r="G127" s="23" t="s">
        <v>0</v>
      </c>
    </row>
    <row r="128" spans="1:7" ht="17.25" customHeight="1" x14ac:dyDescent="0.25">
      <c r="G128" s="24"/>
    </row>
    <row r="129" spans="1:8" ht="17.25" customHeight="1" x14ac:dyDescent="0.25">
      <c r="B129" s="4" t="s">
        <v>6</v>
      </c>
      <c r="C129" s="23">
        <v>104500</v>
      </c>
      <c r="E129" s="23">
        <f>104500+14600-15600+5400-8100</f>
        <v>100800</v>
      </c>
      <c r="G129" s="24">
        <f t="shared" ref="G129:G134" si="1">C129-E129</f>
        <v>3700</v>
      </c>
    </row>
    <row r="130" spans="1:8" ht="17.25" customHeight="1" x14ac:dyDescent="0.25">
      <c r="B130" s="4" t="s">
        <v>82</v>
      </c>
      <c r="C130" s="23">
        <v>400</v>
      </c>
      <c r="E130" s="23">
        <f>400-300</f>
        <v>100</v>
      </c>
      <c r="G130" s="24">
        <f t="shared" si="1"/>
        <v>300</v>
      </c>
    </row>
    <row r="131" spans="1:8" ht="17.25" customHeight="1" x14ac:dyDescent="0.25">
      <c r="B131" s="4" t="s">
        <v>56</v>
      </c>
      <c r="C131" s="23">
        <v>39500</v>
      </c>
      <c r="E131" s="23">
        <f>39500-300-1000</f>
        <v>38200</v>
      </c>
      <c r="G131" s="24">
        <f t="shared" si="1"/>
        <v>1300</v>
      </c>
    </row>
    <row r="132" spans="1:8" ht="17.25" customHeight="1" x14ac:dyDescent="0.25">
      <c r="B132" s="4" t="s">
        <v>57</v>
      </c>
      <c r="C132" s="23">
        <v>55000</v>
      </c>
      <c r="E132" s="23">
        <v>55000</v>
      </c>
      <c r="G132" s="24">
        <f t="shared" si="1"/>
        <v>0</v>
      </c>
    </row>
    <row r="133" spans="1:8" ht="17.25" customHeight="1" x14ac:dyDescent="0.25">
      <c r="B133" s="4" t="s">
        <v>70</v>
      </c>
      <c r="C133" s="113">
        <v>10000</v>
      </c>
      <c r="D133" s="102"/>
      <c r="E133" s="113">
        <f>10000-2000</f>
        <v>8000</v>
      </c>
      <c r="F133" s="102"/>
      <c r="G133" s="102">
        <f t="shared" si="1"/>
        <v>2000</v>
      </c>
    </row>
    <row r="134" spans="1:8" ht="19.5" customHeight="1" x14ac:dyDescent="0.25">
      <c r="A134" s="27"/>
      <c r="B134" s="7"/>
      <c r="C134" s="112">
        <v>0</v>
      </c>
      <c r="D134" s="102"/>
      <c r="E134" s="112">
        <v>0</v>
      </c>
      <c r="G134" s="128">
        <f t="shared" si="1"/>
        <v>0</v>
      </c>
    </row>
    <row r="135" spans="1:8" ht="17.25" customHeight="1" x14ac:dyDescent="0.25">
      <c r="B135" s="20"/>
      <c r="C135" s="113"/>
      <c r="D135" s="102"/>
      <c r="E135" s="113"/>
      <c r="F135" s="102"/>
      <c r="G135" s="24"/>
    </row>
    <row r="136" spans="1:8" ht="17.25" customHeight="1" x14ac:dyDescent="0.25">
      <c r="B136" s="97" t="s">
        <v>67</v>
      </c>
      <c r="C136" s="113">
        <f>SUM(C128:C134)</f>
        <v>209400</v>
      </c>
      <c r="D136" s="113"/>
      <c r="E136" s="113">
        <f>SUM(E128:E134)</f>
        <v>202100</v>
      </c>
      <c r="F136" s="113"/>
      <c r="G136" s="23">
        <f>C136-E136</f>
        <v>7300</v>
      </c>
    </row>
    <row r="137" spans="1:8" ht="17.25" customHeight="1" x14ac:dyDescent="0.25">
      <c r="B137" s="97"/>
      <c r="C137" s="113"/>
      <c r="D137" s="113"/>
      <c r="E137" s="113"/>
      <c r="F137" s="113"/>
      <c r="G137" s="24"/>
    </row>
    <row r="138" spans="1:8" ht="17.25" customHeight="1" x14ac:dyDescent="0.25">
      <c r="B138" s="88" t="s">
        <v>163</v>
      </c>
      <c r="C138" s="113">
        <v>10000</v>
      </c>
      <c r="D138" s="113"/>
      <c r="E138" s="113">
        <v>10000</v>
      </c>
      <c r="F138" s="113"/>
      <c r="G138" s="24">
        <f>E138-C138</f>
        <v>0</v>
      </c>
    </row>
    <row r="139" spans="1:8" ht="17.25" customHeight="1" x14ac:dyDescent="0.25">
      <c r="B139" s="88" t="s">
        <v>164</v>
      </c>
      <c r="C139" s="113">
        <v>140000</v>
      </c>
      <c r="D139" s="113"/>
      <c r="E139" s="113">
        <v>140000</v>
      </c>
      <c r="F139" s="113"/>
      <c r="G139" s="24">
        <f>E139-C139</f>
        <v>0</v>
      </c>
    </row>
    <row r="140" spans="1:8" s="20" customFormat="1" ht="17.25" customHeight="1" x14ac:dyDescent="0.25">
      <c r="A140" s="94"/>
      <c r="B140" s="88" t="s">
        <v>165</v>
      </c>
      <c r="C140" s="113">
        <v>40000</v>
      </c>
      <c r="D140" s="102"/>
      <c r="E140" s="113">
        <f>40000</f>
        <v>40000</v>
      </c>
      <c r="F140" s="102"/>
      <c r="G140" s="24">
        <f>E140-C140</f>
        <v>0</v>
      </c>
      <c r="H140" s="19"/>
    </row>
    <row r="141" spans="1:8" s="18" customFormat="1" ht="17.25" customHeight="1" x14ac:dyDescent="0.25">
      <c r="A141" s="173"/>
      <c r="B141" s="88"/>
      <c r="C141" s="112"/>
      <c r="D141" s="102"/>
      <c r="E141" s="112"/>
      <c r="F141" s="102"/>
      <c r="G141" s="128"/>
      <c r="H141" s="19"/>
    </row>
    <row r="142" spans="1:8" s="18" customFormat="1" ht="17.25" customHeight="1" x14ac:dyDescent="0.25">
      <c r="A142" s="95"/>
      <c r="B142" s="88"/>
      <c r="C142" s="113"/>
      <c r="D142" s="102"/>
      <c r="E142" s="113"/>
      <c r="F142" s="102"/>
      <c r="G142" s="24"/>
      <c r="H142" s="19"/>
    </row>
    <row r="143" spans="1:8" s="18" customFormat="1" ht="17.25" customHeight="1" x14ac:dyDescent="0.25">
      <c r="A143" s="95"/>
      <c r="B143" s="97" t="s">
        <v>58</v>
      </c>
      <c r="C143" s="113">
        <f>SUM(C138:C142)</f>
        <v>190000</v>
      </c>
      <c r="D143" s="102"/>
      <c r="E143" s="113">
        <f>SUM(E138:E142)</f>
        <v>190000</v>
      </c>
      <c r="F143" s="102"/>
      <c r="G143" s="113">
        <f>SUM(G138:G142)</f>
        <v>0</v>
      </c>
      <c r="H143" s="19"/>
    </row>
    <row r="144" spans="1:8" s="18" customFormat="1" ht="17.25" customHeight="1" x14ac:dyDescent="0.25">
      <c r="A144" s="95"/>
      <c r="B144" s="170"/>
      <c r="C144" s="112"/>
      <c r="D144" s="102"/>
      <c r="E144" s="112"/>
      <c r="F144" s="24"/>
      <c r="G144" s="128"/>
      <c r="H144" s="19"/>
    </row>
    <row r="145" spans="1:8" s="20" customFormat="1" ht="17.25" customHeight="1" x14ac:dyDescent="0.25">
      <c r="A145" s="94"/>
      <c r="C145" s="113"/>
      <c r="D145" s="102"/>
      <c r="E145" s="113"/>
      <c r="F145" s="102"/>
      <c r="G145" s="113"/>
      <c r="H145" s="19"/>
    </row>
    <row r="146" spans="1:8" s="20" customFormat="1" ht="17.25" customHeight="1" x14ac:dyDescent="0.25">
      <c r="A146" s="94"/>
      <c r="B146" s="11" t="s">
        <v>55</v>
      </c>
      <c r="C146" s="113">
        <f>C136-C143</f>
        <v>19400</v>
      </c>
      <c r="D146" s="113"/>
      <c r="E146" s="113">
        <f>E136-E143</f>
        <v>12100</v>
      </c>
      <c r="F146" s="113"/>
      <c r="G146" s="113">
        <f>C146-E146</f>
        <v>7300</v>
      </c>
      <c r="H146" s="19"/>
    </row>
    <row r="147" spans="1:8" s="20" customFormat="1" ht="17.25" customHeight="1" thickBot="1" x14ac:dyDescent="0.3">
      <c r="A147" s="94"/>
      <c r="B147" s="171"/>
      <c r="C147" s="116"/>
      <c r="D147" s="102"/>
      <c r="E147" s="116"/>
      <c r="F147" s="24"/>
      <c r="G147" s="116"/>
      <c r="H147" s="19"/>
    </row>
    <row r="148" spans="1:8" s="20" customFormat="1" ht="17.25" customHeight="1" thickTop="1" x14ac:dyDescent="0.25">
      <c r="A148" s="94"/>
      <c r="B148" s="19"/>
      <c r="C148" s="24"/>
      <c r="D148" s="24"/>
      <c r="E148" s="24"/>
      <c r="F148" s="24"/>
      <c r="G148" s="24"/>
      <c r="H148" s="19"/>
    </row>
    <row r="149" spans="1:8" ht="17.25" customHeight="1" x14ac:dyDescent="0.25">
      <c r="G149" s="24"/>
    </row>
    <row r="150" spans="1:8" s="20" customFormat="1" ht="17.25" customHeight="1" x14ac:dyDescent="0.35">
      <c r="A150" s="94"/>
      <c r="B150" s="168"/>
      <c r="C150" s="24"/>
      <c r="D150" s="24"/>
      <c r="E150" s="24"/>
      <c r="F150" s="24"/>
      <c r="G150" s="24"/>
      <c r="H150" s="19"/>
    </row>
    <row r="151" spans="1:8" ht="17.25" customHeight="1" x14ac:dyDescent="0.25">
      <c r="D151" s="102"/>
      <c r="G151" s="24"/>
    </row>
    <row r="152" spans="1:8" ht="17.25" customHeight="1" x14ac:dyDescent="0.25">
      <c r="D152" s="102"/>
      <c r="G152" s="24"/>
    </row>
    <row r="153" spans="1:8" ht="17.25" customHeight="1" x14ac:dyDescent="0.25">
      <c r="C153" s="104" t="s">
        <v>200</v>
      </c>
      <c r="D153" s="103"/>
      <c r="E153" s="104" t="s">
        <v>212</v>
      </c>
      <c r="G153" s="104"/>
    </row>
    <row r="154" spans="1:8" ht="17.25" customHeight="1" x14ac:dyDescent="0.25">
      <c r="C154" s="105" t="s">
        <v>95</v>
      </c>
      <c r="D154" s="103"/>
      <c r="E154" s="105" t="s">
        <v>40</v>
      </c>
      <c r="G154" s="105" t="s">
        <v>41</v>
      </c>
    </row>
    <row r="155" spans="1:8" ht="17.25" customHeight="1" x14ac:dyDescent="0.25">
      <c r="C155" s="106" t="s">
        <v>42</v>
      </c>
      <c r="D155" s="103"/>
      <c r="E155" s="106" t="s">
        <v>42</v>
      </c>
      <c r="G155" s="106" t="s">
        <v>28</v>
      </c>
    </row>
    <row r="156" spans="1:8" ht="17.25" customHeight="1" x14ac:dyDescent="0.25">
      <c r="D156" s="102"/>
      <c r="G156" s="24"/>
    </row>
    <row r="157" spans="1:8" ht="17.25" customHeight="1" x14ac:dyDescent="0.3">
      <c r="B157" s="199" t="s">
        <v>161</v>
      </c>
      <c r="C157" s="23" t="s">
        <v>0</v>
      </c>
      <c r="E157" s="23" t="s">
        <v>0</v>
      </c>
      <c r="G157" s="23" t="s">
        <v>0</v>
      </c>
    </row>
    <row r="158" spans="1:8" ht="17.25" customHeight="1" x14ac:dyDescent="0.25">
      <c r="G158" s="24"/>
    </row>
    <row r="159" spans="1:8" ht="17.25" customHeight="1" x14ac:dyDescent="0.25">
      <c r="B159" s="4" t="s">
        <v>6</v>
      </c>
      <c r="C159" s="113">
        <v>22000</v>
      </c>
      <c r="D159" s="102"/>
      <c r="E159" s="113">
        <f>22000-4000</f>
        <v>18000</v>
      </c>
      <c r="F159" s="102"/>
      <c r="G159" s="24">
        <f>C159-E159</f>
        <v>4000</v>
      </c>
    </row>
    <row r="160" spans="1:8" ht="17.25" customHeight="1" x14ac:dyDescent="0.25">
      <c r="B160" s="4"/>
      <c r="C160" s="113"/>
      <c r="D160" s="102"/>
      <c r="E160" s="113"/>
      <c r="F160" s="102"/>
      <c r="G160" s="24"/>
    </row>
    <row r="161" spans="2:7" ht="17.25" customHeight="1" x14ac:dyDescent="0.25">
      <c r="B161" s="4" t="s">
        <v>56</v>
      </c>
      <c r="C161" s="113">
        <v>8000</v>
      </c>
      <c r="D161" s="102"/>
      <c r="E161" s="113">
        <f>8000+4000</f>
        <v>12000</v>
      </c>
      <c r="F161" s="102"/>
      <c r="G161" s="24">
        <f>C161-E161</f>
        <v>-4000</v>
      </c>
    </row>
    <row r="162" spans="2:7" ht="17.25" customHeight="1" x14ac:dyDescent="0.25">
      <c r="B162" s="4"/>
      <c r="C162" s="112"/>
      <c r="D162" s="102"/>
      <c r="E162" s="112"/>
      <c r="G162" s="128"/>
    </row>
    <row r="163" spans="2:7" ht="17.25" customHeight="1" x14ac:dyDescent="0.25">
      <c r="B163" s="20"/>
      <c r="C163" s="113"/>
      <c r="D163" s="102"/>
      <c r="E163" s="113"/>
      <c r="G163" s="24"/>
    </row>
    <row r="164" spans="2:7" ht="17.25" customHeight="1" x14ac:dyDescent="0.25">
      <c r="B164" s="11" t="s">
        <v>55</v>
      </c>
      <c r="C164" s="23">
        <f>SUM(C158:C163)</f>
        <v>30000</v>
      </c>
      <c r="D164" s="23"/>
      <c r="E164" s="23">
        <f>SUM(E158:E163)</f>
        <v>30000</v>
      </c>
      <c r="G164" s="23">
        <f>C164-E164</f>
        <v>0</v>
      </c>
    </row>
    <row r="165" spans="2:7" ht="17.25" customHeight="1" thickBot="1" x14ac:dyDescent="0.3">
      <c r="C165" s="116"/>
      <c r="D165" s="102"/>
      <c r="E165" s="116"/>
      <c r="G165" s="116"/>
    </row>
    <row r="166" spans="2:7" ht="17.25" customHeight="1" thickTop="1" x14ac:dyDescent="0.25"/>
    <row r="170" spans="2:7" ht="17.25" customHeight="1" x14ac:dyDescent="0.3">
      <c r="B170" s="197"/>
    </row>
  </sheetData>
  <mergeCells count="5">
    <mergeCell ref="B2:G2"/>
    <mergeCell ref="B37:G37"/>
    <mergeCell ref="B56:G56"/>
    <mergeCell ref="B79:G79"/>
    <mergeCell ref="B120:G120"/>
  </mergeCells>
  <phoneticPr fontId="0" type="noConversion"/>
  <pageMargins left="0.47244094488188981" right="0.55118110236220474" top="0.43307086614173229" bottom="1.3779527559055118" header="0.27559055118110237" footer="1.1811023622047245"/>
  <pageSetup paperSize="9" scale="56" firstPageNumber="40" pageOrder="overThenDown" orientation="portrait" useFirstPageNumber="1" r:id="rId1"/>
  <headerFooter alignWithMargins="0">
    <oddFooter>&amp;C&amp;18&amp;P</oddFooter>
  </headerFooter>
  <rowBreaks count="3" manualBreakCount="3">
    <brk id="31" max="7" man="1"/>
    <brk id="77" max="7" man="1"/>
    <brk id="118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G22"/>
  <sheetViews>
    <sheetView zoomScale="80" zoomScaleNormal="80" workbookViewId="0">
      <selection activeCell="O16" sqref="O16"/>
    </sheetView>
  </sheetViews>
  <sheetFormatPr defaultColWidth="9.28515625" defaultRowHeight="18" x14ac:dyDescent="0.25"/>
  <cols>
    <col min="1" max="1" width="9.7109375" style="4" customWidth="1"/>
    <col min="2" max="2" width="54" style="4" customWidth="1"/>
    <col min="3" max="3" width="17" style="24" customWidth="1"/>
    <col min="4" max="4" width="10.28515625" style="103" customWidth="1"/>
    <col min="5" max="5" width="16.7109375" style="24" customWidth="1"/>
    <col min="6" max="6" width="9.7109375" style="103" customWidth="1"/>
    <col min="7" max="7" width="17" style="103" customWidth="1"/>
    <col min="8" max="8" width="10.5703125" style="4" bestFit="1" customWidth="1"/>
    <col min="9" max="16384" width="9.28515625" style="4"/>
  </cols>
  <sheetData>
    <row r="1" spans="1:7" s="1" customFormat="1" x14ac:dyDescent="0.25">
      <c r="A1" s="4"/>
      <c r="B1" s="4"/>
      <c r="C1" s="24"/>
      <c r="D1" s="103"/>
      <c r="E1" s="24"/>
      <c r="F1" s="114"/>
      <c r="G1" s="114"/>
    </row>
    <row r="2" spans="1:7" s="1" customFormat="1" ht="27.75" x14ac:dyDescent="0.4">
      <c r="A2" s="4"/>
      <c r="B2" s="230" t="s">
        <v>15</v>
      </c>
      <c r="C2" s="231"/>
      <c r="D2" s="231"/>
      <c r="E2" s="231"/>
      <c r="F2" s="231"/>
      <c r="G2" s="232"/>
    </row>
    <row r="3" spans="1:7" s="1" customFormat="1" ht="18.75" customHeight="1" x14ac:dyDescent="0.25">
      <c r="A3" s="4"/>
      <c r="B3" s="4"/>
      <c r="C3" s="24"/>
      <c r="D3" s="103"/>
      <c r="E3" s="24"/>
      <c r="F3" s="114"/>
      <c r="G3" s="114"/>
    </row>
    <row r="4" spans="1:7" s="1" customFormat="1" x14ac:dyDescent="0.25">
      <c r="A4" s="4"/>
      <c r="B4" s="4"/>
      <c r="C4" s="24"/>
      <c r="D4" s="103"/>
      <c r="E4" s="24"/>
      <c r="F4" s="114"/>
      <c r="G4" s="114"/>
    </row>
    <row r="5" spans="1:7" s="1" customFormat="1" x14ac:dyDescent="0.25">
      <c r="A5" s="5"/>
      <c r="B5" s="26"/>
      <c r="C5" s="104" t="s">
        <v>200</v>
      </c>
      <c r="D5" s="103"/>
      <c r="E5" s="104" t="s">
        <v>212</v>
      </c>
      <c r="F5" s="103"/>
      <c r="G5" s="52"/>
    </row>
    <row r="6" spans="1:7" s="1" customFormat="1" x14ac:dyDescent="0.25">
      <c r="A6" s="4"/>
      <c r="B6" s="4"/>
      <c r="C6" s="105" t="s">
        <v>95</v>
      </c>
      <c r="D6" s="103"/>
      <c r="E6" s="105" t="s">
        <v>40</v>
      </c>
      <c r="F6" s="103"/>
      <c r="G6" s="61" t="s">
        <v>41</v>
      </c>
    </row>
    <row r="7" spans="1:7" s="1" customFormat="1" ht="19.5" customHeight="1" x14ac:dyDescent="0.25">
      <c r="A7" s="4"/>
      <c r="B7" s="4"/>
      <c r="C7" s="106" t="s">
        <v>42</v>
      </c>
      <c r="D7" s="103"/>
      <c r="E7" s="106" t="s">
        <v>42</v>
      </c>
      <c r="F7" s="103"/>
      <c r="G7" s="62" t="s">
        <v>28</v>
      </c>
    </row>
    <row r="8" spans="1:7" s="1" customFormat="1" x14ac:dyDescent="0.25">
      <c r="A8" s="4"/>
      <c r="B8" s="4"/>
      <c r="C8" s="23"/>
      <c r="D8" s="103"/>
      <c r="E8" s="23"/>
      <c r="F8" s="114"/>
      <c r="G8" s="114"/>
    </row>
    <row r="9" spans="1:7" s="1" customFormat="1" ht="20.25" x14ac:dyDescent="0.3">
      <c r="A9" s="4"/>
      <c r="B9" s="117" t="s">
        <v>15</v>
      </c>
      <c r="C9" s="23" t="s">
        <v>0</v>
      </c>
      <c r="D9" s="103"/>
      <c r="E9" s="23" t="s">
        <v>0</v>
      </c>
      <c r="F9" s="114"/>
      <c r="G9" s="115" t="s">
        <v>0</v>
      </c>
    </row>
    <row r="10" spans="1:7" x14ac:dyDescent="0.25">
      <c r="C10" s="23"/>
      <c r="E10" s="23"/>
    </row>
    <row r="11" spans="1:7" s="1" customFormat="1" x14ac:dyDescent="0.25">
      <c r="A11" s="4"/>
      <c r="B11" s="4" t="s">
        <v>6</v>
      </c>
      <c r="C11" s="23">
        <v>539600</v>
      </c>
      <c r="D11" s="103"/>
      <c r="E11" s="23">
        <f>539600+1400+5800-31600+22400</f>
        <v>537600</v>
      </c>
      <c r="F11" s="114"/>
      <c r="G11" s="114">
        <f t="shared" ref="G11:G16" si="0">C11-E11</f>
        <v>2000</v>
      </c>
    </row>
    <row r="12" spans="1:7" x14ac:dyDescent="0.25">
      <c r="B12" s="4" t="s">
        <v>82</v>
      </c>
      <c r="C12" s="23">
        <v>500</v>
      </c>
      <c r="E12" s="23">
        <v>500</v>
      </c>
      <c r="G12" s="114">
        <f t="shared" si="0"/>
        <v>0</v>
      </c>
    </row>
    <row r="13" spans="1:7" x14ac:dyDescent="0.25">
      <c r="B13" s="4" t="s">
        <v>56</v>
      </c>
      <c r="C13" s="23">
        <v>15800</v>
      </c>
      <c r="E13" s="23">
        <f>15800-5200</f>
        <v>10600</v>
      </c>
      <c r="G13" s="114">
        <f t="shared" si="0"/>
        <v>5200</v>
      </c>
    </row>
    <row r="14" spans="1:7" x14ac:dyDescent="0.25">
      <c r="B14" s="7" t="s">
        <v>182</v>
      </c>
      <c r="C14" s="113">
        <v>0</v>
      </c>
      <c r="E14" s="23">
        <v>0</v>
      </c>
      <c r="G14" s="114">
        <f t="shared" si="0"/>
        <v>0</v>
      </c>
    </row>
    <row r="15" spans="1:7" hidden="1" x14ac:dyDescent="0.25">
      <c r="A15" s="1"/>
      <c r="B15" s="1"/>
      <c r="C15" s="113"/>
      <c r="D15" s="114"/>
      <c r="E15" s="113"/>
      <c r="G15" s="114">
        <f t="shared" si="0"/>
        <v>0</v>
      </c>
    </row>
    <row r="16" spans="1:7" x14ac:dyDescent="0.25">
      <c r="B16" s="4" t="s">
        <v>57</v>
      </c>
      <c r="C16" s="113">
        <v>0</v>
      </c>
      <c r="E16" s="113">
        <v>0</v>
      </c>
      <c r="G16" s="114">
        <f t="shared" si="0"/>
        <v>0</v>
      </c>
    </row>
    <row r="17" spans="1:7" x14ac:dyDescent="0.25">
      <c r="C17" s="109"/>
      <c r="E17" s="109"/>
      <c r="G17" s="109"/>
    </row>
    <row r="18" spans="1:7" x14ac:dyDescent="0.25">
      <c r="A18" s="8"/>
      <c r="B18" s="6" t="s">
        <v>67</v>
      </c>
      <c r="C18" s="113">
        <f>SUM(C11:C17)</f>
        <v>555900</v>
      </c>
      <c r="D18" s="115"/>
      <c r="E18" s="113">
        <f>SUM(E11:E17)</f>
        <v>548700</v>
      </c>
      <c r="G18" s="113">
        <f>C18-E18</f>
        <v>7200</v>
      </c>
    </row>
    <row r="19" spans="1:7" ht="18.75" thickBot="1" x14ac:dyDescent="0.3">
      <c r="B19" s="9"/>
      <c r="C19" s="110"/>
      <c r="E19" s="110"/>
      <c r="G19" s="110"/>
    </row>
    <row r="20" spans="1:7" ht="18.75" thickTop="1" x14ac:dyDescent="0.25"/>
    <row r="22" spans="1:7" x14ac:dyDescent="0.25">
      <c r="G22" s="114"/>
    </row>
  </sheetData>
  <customSheetViews>
    <customSheetView guid="{CA1631C2-F325-11D6-AB9C-00B0D0BAF716}" scale="1480928844" showPageBreaks="1" printArea="1" showRuler="0" topLeftCell="A36">
      <selection activeCell="G52" sqref="G52"/>
      <rowBreaks count="1" manualBreakCount="1">
        <brk id="45" max="12" man="1"/>
      </rowBreaks>
      <pageMargins left="0.43307086614173229" right="0.74803149606299213" top="0.98425196850393704" bottom="0.98425196850393704" header="0.51181102362204722" footer="0.51181102362204722"/>
      <pageSetup paperSize="9" scale="60" firstPageNumber="78" orientation="portrait" useFirstPageNumber="1" horizontalDpi="1200" verticalDpi="1200" r:id="rId1"/>
      <headerFooter alignWithMargins="0">
        <oddHeader xml:space="preserve">&amp;R&amp;14BUDGET HOLDERS R HIGGINS/E LEE&amp;10
</oddHeader>
        <oddFooter>&amp;C&amp;18&amp;P</oddFooter>
      </headerFooter>
    </customSheetView>
    <customSheetView guid="{061CE440-224A-11D7-AABC-0050DA1BA6DB}" scale="70" hiddenRows="1" showRuler="0">
      <selection activeCell="M187" sqref="M187"/>
      <rowBreaks count="3" manualBreakCount="3">
        <brk id="46" max="12" man="1"/>
        <brk id="72" max="12" man="1"/>
        <brk id="124" max="12" man="1"/>
      </rowBreaks>
      <pageMargins left="0.43307086614173229" right="0.74803149606299213" top="0.98425196850393704" bottom="0.98425196850393704" header="0.51181102362204722" footer="0.51181102362204722"/>
      <pageSetup paperSize="9" scale="62" firstPageNumber="81" orientation="portrait" useFirstPageNumber="1" horizontalDpi="1200" verticalDpi="1200" r:id="rId2"/>
      <headerFooter alignWithMargins="0">
        <oddHeader>&amp;R&amp;18APPENDIX B</oddHeader>
        <oddFooter>&amp;C&amp;18&amp;P</oddFooter>
      </headerFooter>
    </customSheetView>
  </customSheetViews>
  <mergeCells count="1">
    <mergeCell ref="B2:G2"/>
  </mergeCells>
  <phoneticPr fontId="0" type="noConversion"/>
  <pageMargins left="0.59055118110236227" right="0.19685039370078741" top="0.70866141732283472" bottom="1.1811023622047245" header="1.3779527559055118" footer="0.59055118110236227"/>
  <pageSetup paperSize="9" scale="64" firstPageNumber="44" orientation="portrait" useFirstPageNumber="1" r:id="rId3"/>
  <headerFooter alignWithMargins="0">
    <oddFooter>&amp;C&amp;18&amp;P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2:G77"/>
  <sheetViews>
    <sheetView topLeftCell="A58" zoomScale="80" zoomScaleNormal="80" workbookViewId="0">
      <selection activeCell="O16" sqref="O16"/>
    </sheetView>
  </sheetViews>
  <sheetFormatPr defaultColWidth="9.28515625" defaultRowHeight="18" x14ac:dyDescent="0.25"/>
  <cols>
    <col min="1" max="1" width="9.7109375" style="4" customWidth="1"/>
    <col min="2" max="2" width="53.7109375" style="4" customWidth="1"/>
    <col min="3" max="3" width="16.7109375" style="24" customWidth="1"/>
    <col min="4" max="4" width="10" style="103" customWidth="1"/>
    <col min="5" max="5" width="17" style="24" customWidth="1"/>
    <col min="6" max="6" width="9.5703125" style="103" customWidth="1"/>
    <col min="7" max="7" width="16.7109375" style="175" customWidth="1"/>
    <col min="8" max="8" width="10.28515625" style="4" customWidth="1"/>
    <col min="9" max="16384" width="9.28515625" style="4"/>
  </cols>
  <sheetData>
    <row r="2" spans="1:7" ht="40.5" customHeight="1" x14ac:dyDescent="0.25">
      <c r="B2" s="224" t="s">
        <v>30</v>
      </c>
      <c r="C2" s="225"/>
      <c r="D2" s="225"/>
      <c r="E2" s="225"/>
      <c r="F2" s="225"/>
      <c r="G2" s="226"/>
    </row>
    <row r="3" spans="1:7" ht="27.75" x14ac:dyDescent="0.25">
      <c r="B3" s="161"/>
      <c r="C3" s="161"/>
      <c r="D3" s="161"/>
      <c r="E3" s="161"/>
      <c r="F3" s="161"/>
      <c r="G3" s="161"/>
    </row>
    <row r="4" spans="1:7" x14ac:dyDescent="0.25">
      <c r="C4" s="103"/>
      <c r="E4" s="103"/>
      <c r="G4" s="103"/>
    </row>
    <row r="5" spans="1:7" x14ac:dyDescent="0.25">
      <c r="A5" s="5"/>
      <c r="B5" s="26"/>
      <c r="C5" s="104" t="s">
        <v>200</v>
      </c>
      <c r="E5" s="104" t="s">
        <v>212</v>
      </c>
      <c r="G5" s="52"/>
    </row>
    <row r="6" spans="1:7" x14ac:dyDescent="0.25">
      <c r="B6" s="6"/>
      <c r="C6" s="105" t="s">
        <v>95</v>
      </c>
      <c r="E6" s="105" t="s">
        <v>40</v>
      </c>
      <c r="G6" s="61" t="s">
        <v>41</v>
      </c>
    </row>
    <row r="7" spans="1:7" x14ac:dyDescent="0.25">
      <c r="C7" s="106" t="s">
        <v>42</v>
      </c>
      <c r="E7" s="106" t="s">
        <v>42</v>
      </c>
      <c r="G7" s="62" t="s">
        <v>28</v>
      </c>
    </row>
    <row r="8" spans="1:7" x14ac:dyDescent="0.25">
      <c r="C8" s="25"/>
      <c r="E8" s="25"/>
      <c r="G8" s="103"/>
    </row>
    <row r="9" spans="1:7" ht="20.25" x14ac:dyDescent="0.3">
      <c r="B9" s="118" t="s">
        <v>54</v>
      </c>
      <c r="C9" s="23" t="s">
        <v>0</v>
      </c>
      <c r="E9" s="23" t="s">
        <v>0</v>
      </c>
      <c r="F9" s="4"/>
      <c r="G9" s="12" t="s">
        <v>0</v>
      </c>
    </row>
    <row r="10" spans="1:7" x14ac:dyDescent="0.25">
      <c r="C10" s="25"/>
      <c r="E10" s="25"/>
      <c r="G10" s="103"/>
    </row>
    <row r="11" spans="1:7" x14ac:dyDescent="0.25">
      <c r="B11" s="4" t="s">
        <v>88</v>
      </c>
      <c r="C11" s="12">
        <f>C37</f>
        <v>111500</v>
      </c>
      <c r="E11" s="12">
        <f>E37</f>
        <v>115100</v>
      </c>
      <c r="G11" s="103">
        <f>C11-E11</f>
        <v>-3600</v>
      </c>
    </row>
    <row r="12" spans="1:7" x14ac:dyDescent="0.25">
      <c r="C12" s="103"/>
      <c r="E12" s="103"/>
      <c r="G12" s="103"/>
    </row>
    <row r="13" spans="1:7" x14ac:dyDescent="0.25">
      <c r="B13" s="4" t="s">
        <v>89</v>
      </c>
      <c r="C13" s="12">
        <f>C54</f>
        <v>5500</v>
      </c>
      <c r="E13" s="12">
        <f>E54</f>
        <v>5700</v>
      </c>
      <c r="G13" s="103">
        <f>C13-E13</f>
        <v>-200</v>
      </c>
    </row>
    <row r="14" spans="1:7" x14ac:dyDescent="0.25">
      <c r="C14" s="12"/>
      <c r="E14" s="12"/>
      <c r="G14" s="103"/>
    </row>
    <row r="15" spans="1:7" x14ac:dyDescent="0.25">
      <c r="B15" s="4" t="s">
        <v>90</v>
      </c>
      <c r="C15" s="12">
        <f>C71</f>
        <v>98600</v>
      </c>
      <c r="E15" s="12">
        <f>E71</f>
        <v>102400</v>
      </c>
      <c r="G15" s="103">
        <f>C15-E15</f>
        <v>-3800</v>
      </c>
    </row>
    <row r="16" spans="1:7" x14ac:dyDescent="0.25">
      <c r="C16" s="103"/>
      <c r="E16" s="103"/>
      <c r="G16" s="103"/>
    </row>
    <row r="17" spans="1:7" x14ac:dyDescent="0.25">
      <c r="C17" s="145"/>
      <c r="E17" s="145"/>
      <c r="G17" s="145"/>
    </row>
    <row r="18" spans="1:7" ht="20.25" x14ac:dyDescent="0.3">
      <c r="B18" s="118" t="s">
        <v>55</v>
      </c>
      <c r="C18" s="12">
        <f>SUM(C11:C15)</f>
        <v>215600</v>
      </c>
      <c r="E18" s="12">
        <f>SUM(E11:E15)</f>
        <v>223200</v>
      </c>
      <c r="G18" s="12">
        <f>C18-E18</f>
        <v>-7600</v>
      </c>
    </row>
    <row r="19" spans="1:7" ht="18.75" thickBot="1" x14ac:dyDescent="0.3">
      <c r="C19" s="174"/>
      <c r="E19" s="174"/>
      <c r="G19" s="174"/>
    </row>
    <row r="20" spans="1:7" ht="18.75" thickTop="1" x14ac:dyDescent="0.25"/>
    <row r="24" spans="1:7" x14ac:dyDescent="0.25">
      <c r="A24" s="134"/>
      <c r="C24" s="113"/>
      <c r="E24" s="113"/>
    </row>
    <row r="25" spans="1:7" ht="40.5" customHeight="1" x14ac:dyDescent="0.25">
      <c r="B25" s="224" t="s">
        <v>30</v>
      </c>
      <c r="C25" s="225"/>
      <c r="D25" s="225"/>
      <c r="E25" s="225"/>
      <c r="F25" s="225"/>
      <c r="G25" s="226"/>
    </row>
    <row r="28" spans="1:7" x14ac:dyDescent="0.25">
      <c r="A28" s="5"/>
      <c r="B28" s="26"/>
      <c r="C28" s="104" t="s">
        <v>200</v>
      </c>
      <c r="E28" s="104" t="s">
        <v>212</v>
      </c>
      <c r="G28" s="52"/>
    </row>
    <row r="29" spans="1:7" x14ac:dyDescent="0.25">
      <c r="C29" s="105" t="s">
        <v>95</v>
      </c>
      <c r="E29" s="105" t="s">
        <v>40</v>
      </c>
      <c r="G29" s="61" t="s">
        <v>41</v>
      </c>
    </row>
    <row r="30" spans="1:7" x14ac:dyDescent="0.25">
      <c r="C30" s="106" t="s">
        <v>42</v>
      </c>
      <c r="E30" s="106" t="s">
        <v>42</v>
      </c>
      <c r="G30" s="62" t="s">
        <v>28</v>
      </c>
    </row>
    <row r="31" spans="1:7" x14ac:dyDescent="0.25">
      <c r="C31" s="23"/>
      <c r="E31" s="23"/>
      <c r="G31" s="176"/>
    </row>
    <row r="32" spans="1:7" ht="20.25" x14ac:dyDescent="0.3">
      <c r="B32" s="118" t="s">
        <v>88</v>
      </c>
      <c r="C32" s="23" t="s">
        <v>0</v>
      </c>
      <c r="E32" s="23" t="s">
        <v>0</v>
      </c>
      <c r="G32" s="12" t="s">
        <v>0</v>
      </c>
    </row>
    <row r="33" spans="2:7" x14ac:dyDescent="0.25">
      <c r="C33" s="23"/>
      <c r="E33" s="23"/>
      <c r="G33" s="12"/>
    </row>
    <row r="34" spans="2:7" x14ac:dyDescent="0.25">
      <c r="B34" s="4" t="s">
        <v>57</v>
      </c>
      <c r="C34" s="23">
        <v>111500</v>
      </c>
      <c r="E34" s="23">
        <f>111500+3300+300</f>
        <v>115100</v>
      </c>
      <c r="G34" s="12">
        <f>C34-E34</f>
        <v>-3600</v>
      </c>
    </row>
    <row r="35" spans="2:7" x14ac:dyDescent="0.25">
      <c r="C35" s="112"/>
      <c r="E35" s="112"/>
      <c r="G35" s="159"/>
    </row>
    <row r="36" spans="2:7" s="1" customFormat="1" ht="15" customHeight="1" x14ac:dyDescent="0.25">
      <c r="C36" s="113"/>
      <c r="D36" s="114"/>
      <c r="E36" s="113"/>
      <c r="F36" s="114"/>
      <c r="G36" s="115"/>
    </row>
    <row r="37" spans="2:7" s="8" customFormat="1" x14ac:dyDescent="0.25">
      <c r="B37" s="100" t="s">
        <v>55</v>
      </c>
      <c r="C37" s="113">
        <f>SUM(C34:C35)</f>
        <v>111500</v>
      </c>
      <c r="D37" s="115"/>
      <c r="E37" s="113">
        <f>SUM(E34:E35)</f>
        <v>115100</v>
      </c>
      <c r="F37" s="115"/>
      <c r="G37" s="115">
        <f>SUM(G34:G35)</f>
        <v>-3600</v>
      </c>
    </row>
    <row r="38" spans="2:7" s="1" customFormat="1" ht="18.75" thickBot="1" x14ac:dyDescent="0.3">
      <c r="C38" s="110"/>
      <c r="D38" s="114"/>
      <c r="E38" s="110"/>
      <c r="F38" s="114"/>
      <c r="G38" s="110"/>
    </row>
    <row r="39" spans="2:7" s="1" customFormat="1" ht="18.75" thickTop="1" x14ac:dyDescent="0.25">
      <c r="C39" s="113"/>
      <c r="D39" s="114"/>
      <c r="E39" s="113"/>
      <c r="F39" s="114"/>
      <c r="G39" s="12"/>
    </row>
    <row r="40" spans="2:7" s="1" customFormat="1" x14ac:dyDescent="0.25">
      <c r="C40" s="113"/>
      <c r="D40" s="114"/>
      <c r="E40" s="113"/>
      <c r="F40" s="114"/>
      <c r="G40" s="12"/>
    </row>
    <row r="41" spans="2:7" s="1" customFormat="1" ht="40.5" customHeight="1" x14ac:dyDescent="0.25">
      <c r="B41" s="224" t="s">
        <v>30</v>
      </c>
      <c r="C41" s="225"/>
      <c r="D41" s="225"/>
      <c r="E41" s="225"/>
      <c r="F41" s="225"/>
      <c r="G41" s="226"/>
    </row>
    <row r="42" spans="2:7" s="1" customFormat="1" ht="18.75" customHeight="1" x14ac:dyDescent="0.25">
      <c r="B42" s="161"/>
      <c r="C42" s="161"/>
      <c r="D42" s="161"/>
      <c r="E42" s="161"/>
      <c r="F42" s="161"/>
      <c r="G42" s="161"/>
    </row>
    <row r="43" spans="2:7" s="1" customFormat="1" x14ac:dyDescent="0.25">
      <c r="C43" s="113"/>
      <c r="D43" s="114"/>
      <c r="E43" s="113"/>
      <c r="F43" s="114"/>
      <c r="G43" s="12"/>
    </row>
    <row r="44" spans="2:7" s="1" customFormat="1" x14ac:dyDescent="0.25">
      <c r="C44" s="104" t="s">
        <v>200</v>
      </c>
      <c r="D44" s="103"/>
      <c r="E44" s="104" t="s">
        <v>212</v>
      </c>
      <c r="F44" s="103"/>
      <c r="G44" s="52"/>
    </row>
    <row r="45" spans="2:7" s="1" customFormat="1" x14ac:dyDescent="0.25">
      <c r="C45" s="105" t="s">
        <v>95</v>
      </c>
      <c r="D45" s="103"/>
      <c r="E45" s="105" t="s">
        <v>40</v>
      </c>
      <c r="F45" s="103"/>
      <c r="G45" s="61" t="s">
        <v>41</v>
      </c>
    </row>
    <row r="46" spans="2:7" x14ac:dyDescent="0.25">
      <c r="C46" s="106" t="s">
        <v>42</v>
      </c>
      <c r="E46" s="106" t="s">
        <v>42</v>
      </c>
      <c r="G46" s="62" t="s">
        <v>28</v>
      </c>
    </row>
    <row r="47" spans="2:7" ht="19.5" customHeight="1" x14ac:dyDescent="0.25">
      <c r="C47" s="113"/>
      <c r="E47" s="113"/>
      <c r="G47" s="115"/>
    </row>
    <row r="48" spans="2:7" x14ac:dyDescent="0.25">
      <c r="C48" s="23"/>
      <c r="E48" s="23"/>
      <c r="G48" s="115"/>
    </row>
    <row r="49" spans="1:7" ht="20.25" x14ac:dyDescent="0.3">
      <c r="B49" s="118" t="s">
        <v>89</v>
      </c>
      <c r="C49" s="23" t="s">
        <v>0</v>
      </c>
      <c r="E49" s="23" t="s">
        <v>0</v>
      </c>
      <c r="G49" s="115" t="s">
        <v>0</v>
      </c>
    </row>
    <row r="50" spans="1:7" x14ac:dyDescent="0.25">
      <c r="C50" s="23"/>
      <c r="E50" s="23"/>
      <c r="G50" s="12"/>
    </row>
    <row r="51" spans="1:7" x14ac:dyDescent="0.25">
      <c r="B51" s="4" t="s">
        <v>57</v>
      </c>
      <c r="C51" s="23">
        <v>5500</v>
      </c>
      <c r="E51" s="23">
        <f>5500-1700+1700+200</f>
        <v>5700</v>
      </c>
      <c r="G51" s="12">
        <f>C51-E51</f>
        <v>-200</v>
      </c>
    </row>
    <row r="52" spans="1:7" x14ac:dyDescent="0.25">
      <c r="C52" s="112"/>
      <c r="E52" s="112"/>
      <c r="G52" s="126"/>
    </row>
    <row r="53" spans="1:7" s="1" customFormat="1" x14ac:dyDescent="0.25">
      <c r="C53" s="113"/>
      <c r="D53" s="114"/>
      <c r="E53" s="113"/>
      <c r="F53" s="114"/>
      <c r="G53" s="113"/>
    </row>
    <row r="54" spans="1:7" s="8" customFormat="1" x14ac:dyDescent="0.25">
      <c r="B54" s="100" t="s">
        <v>55</v>
      </c>
      <c r="C54" s="113">
        <f>SUM(C51:C52)</f>
        <v>5500</v>
      </c>
      <c r="D54" s="115"/>
      <c r="E54" s="113">
        <f>SUM(E51:E52)</f>
        <v>5700</v>
      </c>
      <c r="F54" s="115"/>
      <c r="G54" s="113">
        <v>0</v>
      </c>
    </row>
    <row r="55" spans="1:7" ht="18.75" thickBot="1" x14ac:dyDescent="0.3">
      <c r="A55" s="1"/>
      <c r="B55" s="1"/>
      <c r="C55" s="110"/>
      <c r="D55" s="115"/>
      <c r="E55" s="110"/>
      <c r="F55" s="115"/>
      <c r="G55" s="110"/>
    </row>
    <row r="56" spans="1:7" ht="18.75" thickTop="1" x14ac:dyDescent="0.25">
      <c r="A56" s="1"/>
      <c r="B56" s="1"/>
      <c r="C56" s="102"/>
      <c r="D56" s="114"/>
      <c r="E56" s="102"/>
      <c r="F56" s="114"/>
      <c r="G56" s="103"/>
    </row>
    <row r="57" spans="1:7" x14ac:dyDescent="0.25">
      <c r="A57" s="1"/>
      <c r="B57" s="1"/>
      <c r="C57" s="102"/>
      <c r="D57" s="114"/>
      <c r="E57" s="102"/>
      <c r="F57" s="114"/>
      <c r="G57" s="103"/>
    </row>
    <row r="58" spans="1:7" ht="40.5" customHeight="1" x14ac:dyDescent="0.25">
      <c r="A58" s="1"/>
      <c r="B58" s="224" t="s">
        <v>30</v>
      </c>
      <c r="C58" s="225"/>
      <c r="D58" s="225"/>
      <c r="E58" s="225"/>
      <c r="F58" s="225"/>
      <c r="G58" s="226"/>
    </row>
    <row r="59" spans="1:7" x14ac:dyDescent="0.25">
      <c r="A59" s="1"/>
      <c r="B59" s="1"/>
      <c r="C59" s="102"/>
      <c r="D59" s="114"/>
      <c r="E59" s="102"/>
      <c r="F59" s="114"/>
    </row>
    <row r="60" spans="1:7" x14ac:dyDescent="0.25">
      <c r="A60" s="1"/>
      <c r="B60" s="1"/>
      <c r="C60" s="102"/>
      <c r="D60" s="114"/>
      <c r="E60" s="102"/>
      <c r="F60" s="114"/>
      <c r="G60" s="103"/>
    </row>
    <row r="61" spans="1:7" x14ac:dyDescent="0.25">
      <c r="A61" s="5"/>
      <c r="B61" s="5"/>
      <c r="C61" s="104" t="s">
        <v>200</v>
      </c>
      <c r="E61" s="104" t="s">
        <v>212</v>
      </c>
      <c r="F61" s="114"/>
      <c r="G61" s="52"/>
    </row>
    <row r="62" spans="1:7" x14ac:dyDescent="0.25">
      <c r="C62" s="105" t="s">
        <v>95</v>
      </c>
      <c r="E62" s="105" t="s">
        <v>40</v>
      </c>
      <c r="G62" s="61" t="s">
        <v>41</v>
      </c>
    </row>
    <row r="63" spans="1:7" x14ac:dyDescent="0.25">
      <c r="C63" s="106" t="s">
        <v>42</v>
      </c>
      <c r="E63" s="106" t="s">
        <v>42</v>
      </c>
      <c r="G63" s="62" t="s">
        <v>28</v>
      </c>
    </row>
    <row r="64" spans="1:7" x14ac:dyDescent="0.25">
      <c r="C64" s="23"/>
      <c r="E64" s="23"/>
      <c r="G64" s="103"/>
    </row>
    <row r="65" spans="1:7" ht="20.25" x14ac:dyDescent="0.3">
      <c r="B65" s="118" t="s">
        <v>90</v>
      </c>
      <c r="C65" s="23" t="s">
        <v>0</v>
      </c>
      <c r="E65" s="23" t="s">
        <v>0</v>
      </c>
      <c r="G65" s="115" t="s">
        <v>0</v>
      </c>
    </row>
    <row r="66" spans="1:7" x14ac:dyDescent="0.25">
      <c r="C66" s="23"/>
      <c r="E66" s="23"/>
      <c r="G66" s="103"/>
    </row>
    <row r="67" spans="1:7" x14ac:dyDescent="0.25">
      <c r="B67" s="4" t="s">
        <v>91</v>
      </c>
      <c r="C67" s="23">
        <v>4100</v>
      </c>
      <c r="E67" s="23">
        <v>4100</v>
      </c>
      <c r="G67" s="103">
        <f>C67-E67</f>
        <v>0</v>
      </c>
    </row>
    <row r="68" spans="1:7" x14ac:dyDescent="0.25">
      <c r="A68" s="1"/>
      <c r="B68" s="4" t="s">
        <v>57</v>
      </c>
      <c r="C68" s="23">
        <v>94500</v>
      </c>
      <c r="E68" s="23">
        <f>94500+2900+900</f>
        <v>98300</v>
      </c>
      <c r="G68" s="103">
        <f>C68-E68</f>
        <v>-3800</v>
      </c>
    </row>
    <row r="69" spans="1:7" x14ac:dyDescent="0.25">
      <c r="C69" s="103"/>
      <c r="E69" s="103"/>
      <c r="G69" s="103"/>
    </row>
    <row r="70" spans="1:7" x14ac:dyDescent="0.25">
      <c r="A70" s="1"/>
      <c r="B70" s="1"/>
      <c r="C70" s="109"/>
      <c r="D70" s="114"/>
      <c r="E70" s="109"/>
      <c r="G70" s="109"/>
    </row>
    <row r="71" spans="1:7" x14ac:dyDescent="0.25">
      <c r="A71" s="8"/>
      <c r="B71" s="100" t="s">
        <v>55</v>
      </c>
      <c r="C71" s="113">
        <f>SUM(C67:C68)</f>
        <v>98600</v>
      </c>
      <c r="D71" s="115"/>
      <c r="E71" s="113">
        <f>E68+E67</f>
        <v>102400</v>
      </c>
      <c r="G71" s="113">
        <f>C71-E71</f>
        <v>-3800</v>
      </c>
    </row>
    <row r="72" spans="1:7" ht="18.75" thickBot="1" x14ac:dyDescent="0.3">
      <c r="C72" s="110"/>
      <c r="E72" s="110"/>
      <c r="G72" s="110"/>
    </row>
    <row r="73" spans="1:7" ht="18.75" thickTop="1" x14ac:dyDescent="0.25">
      <c r="G73" s="103"/>
    </row>
    <row r="74" spans="1:7" x14ac:dyDescent="0.25">
      <c r="C74" s="23"/>
      <c r="E74" s="23"/>
      <c r="G74" s="103"/>
    </row>
    <row r="75" spans="1:7" x14ac:dyDescent="0.25">
      <c r="G75" s="103"/>
    </row>
    <row r="76" spans="1:7" x14ac:dyDescent="0.25">
      <c r="G76" s="103"/>
    </row>
    <row r="77" spans="1:7" x14ac:dyDescent="0.25">
      <c r="G77" s="103"/>
    </row>
  </sheetData>
  <customSheetViews>
    <customSheetView guid="{CA1631C2-F325-11D6-AB9C-00B0D0BAF716}" scale="70" showPageBreaks="1" printArea="1" showRuler="0" topLeftCell="A37">
      <selection activeCell="I59" sqref="I59"/>
      <rowBreaks count="1" manualBreakCount="1">
        <brk id="51" max="12" man="1"/>
      </rowBreaks>
      <pageMargins left="0.43307086614173229" right="0.74803149606299213" top="0.98425196850393704" bottom="0.98425196850393704" header="0.51181102362204722" footer="0.51181102362204722"/>
      <pageSetup paperSize="9" scale="60" firstPageNumber="78" orientation="portrait" useFirstPageNumber="1" horizontalDpi="1200" verticalDpi="1200" r:id="rId1"/>
      <headerFooter alignWithMargins="0">
        <oddHeader xml:space="preserve">&amp;L&amp;14PORTFOLIO HOLDER CLLR J GRAHAM&amp;R&amp;14BUDGET HOLDER S WALLACE&amp;10
</oddHeader>
        <oddFooter>&amp;C&amp;18&amp;P</oddFooter>
      </headerFooter>
    </customSheetView>
  </customSheetViews>
  <mergeCells count="4">
    <mergeCell ref="B2:G2"/>
    <mergeCell ref="B25:G25"/>
    <mergeCell ref="B41:G41"/>
    <mergeCell ref="B58:G58"/>
  </mergeCells>
  <phoneticPr fontId="0" type="noConversion"/>
  <pageMargins left="0.9055118110236221" right="0.19685039370078741" top="0.6692913385826772" bottom="1.1811023622047245" header="1.3779527559055118" footer="0.59055118110236227"/>
  <pageSetup paperSize="9" scale="55" firstPageNumber="45" orientation="portrait" useFirstPageNumber="1" r:id="rId2"/>
  <headerFooter alignWithMargins="0">
    <oddFooter>&amp;C&amp;18&amp;P</oddFooter>
  </headerFooter>
  <rowBreaks count="1" manualBreakCount="1">
    <brk id="22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2:H41"/>
  <sheetViews>
    <sheetView zoomScale="80" zoomScaleNormal="80" workbookViewId="0">
      <selection activeCell="O16" sqref="O16"/>
    </sheetView>
  </sheetViews>
  <sheetFormatPr defaultColWidth="9.28515625" defaultRowHeight="18" x14ac:dyDescent="0.25"/>
  <cols>
    <col min="1" max="1" width="10" style="4" customWidth="1"/>
    <col min="2" max="2" width="54.5703125" style="4" customWidth="1"/>
    <col min="3" max="3" width="17.28515625" style="103" customWidth="1"/>
    <col min="4" max="4" width="10.28515625" style="103" customWidth="1"/>
    <col min="5" max="5" width="17" style="103" customWidth="1"/>
    <col min="6" max="6" width="9.7109375" style="103" customWidth="1"/>
    <col min="7" max="7" width="17.28515625" style="103" customWidth="1"/>
    <col min="8" max="8" width="10.28515625" style="103" customWidth="1"/>
    <col min="9" max="16384" width="9.28515625" style="4"/>
  </cols>
  <sheetData>
    <row r="2" spans="2:8" ht="41.25" customHeight="1" x14ac:dyDescent="0.25">
      <c r="B2" s="224" t="s">
        <v>202</v>
      </c>
      <c r="C2" s="225"/>
      <c r="D2" s="225"/>
      <c r="E2" s="225"/>
      <c r="F2" s="225"/>
      <c r="G2" s="226"/>
      <c r="H2" s="178"/>
    </row>
    <row r="5" spans="2:8" x14ac:dyDescent="0.25">
      <c r="C5" s="104" t="s">
        <v>200</v>
      </c>
      <c r="E5" s="104" t="s">
        <v>212</v>
      </c>
      <c r="G5" s="52"/>
    </row>
    <row r="6" spans="2:8" x14ac:dyDescent="0.25">
      <c r="C6" s="105" t="s">
        <v>95</v>
      </c>
      <c r="E6" s="105" t="s">
        <v>40</v>
      </c>
      <c r="G6" s="61" t="s">
        <v>41</v>
      </c>
    </row>
    <row r="7" spans="2:8" x14ac:dyDescent="0.25">
      <c r="B7" s="3"/>
      <c r="C7" s="106" t="s">
        <v>42</v>
      </c>
      <c r="E7" s="106" t="s">
        <v>42</v>
      </c>
      <c r="G7" s="62" t="s">
        <v>28</v>
      </c>
    </row>
    <row r="8" spans="2:8" x14ac:dyDescent="0.25">
      <c r="C8" s="12"/>
      <c r="E8" s="12"/>
    </row>
    <row r="9" spans="2:8" ht="20.25" x14ac:dyDescent="0.3">
      <c r="B9" s="118" t="s">
        <v>34</v>
      </c>
      <c r="C9" s="12" t="s">
        <v>0</v>
      </c>
      <c r="E9" s="12" t="s">
        <v>0</v>
      </c>
      <c r="G9" s="12" t="s">
        <v>0</v>
      </c>
    </row>
    <row r="10" spans="2:8" x14ac:dyDescent="0.25">
      <c r="G10" s="4"/>
    </row>
    <row r="11" spans="2:8" x14ac:dyDescent="0.25">
      <c r="B11" s="4" t="s">
        <v>6</v>
      </c>
      <c r="C11" s="23">
        <v>72000</v>
      </c>
      <c r="E11" s="12">
        <f>72000+1500+1045800</f>
        <v>1119300</v>
      </c>
      <c r="G11" s="103">
        <f>C11-E11</f>
        <v>-1047300</v>
      </c>
    </row>
    <row r="12" spans="2:8" x14ac:dyDescent="0.25">
      <c r="C12" s="23"/>
      <c r="E12" s="12"/>
    </row>
    <row r="13" spans="2:8" x14ac:dyDescent="0.25">
      <c r="B13" s="4" t="s">
        <v>186</v>
      </c>
      <c r="C13" s="23">
        <v>0</v>
      </c>
      <c r="E13" s="12">
        <v>78800</v>
      </c>
      <c r="G13" s="103">
        <f t="shared" ref="G13" si="0">C13-E13</f>
        <v>-78800</v>
      </c>
    </row>
    <row r="14" spans="2:8" x14ac:dyDescent="0.25">
      <c r="B14" s="154"/>
      <c r="C14" s="12"/>
      <c r="E14" s="12"/>
    </row>
    <row r="15" spans="2:8" x14ac:dyDescent="0.25">
      <c r="B15" s="4" t="s">
        <v>56</v>
      </c>
      <c r="C15" s="12">
        <v>49900</v>
      </c>
      <c r="E15" s="12">
        <f>49900+3700+12000+8200+351100+100</f>
        <v>425000</v>
      </c>
      <c r="G15" s="103">
        <f>C15-E15</f>
        <v>-375100</v>
      </c>
    </row>
    <row r="16" spans="2:8" x14ac:dyDescent="0.25">
      <c r="B16" s="19"/>
      <c r="C16" s="12"/>
      <c r="E16" s="12"/>
    </row>
    <row r="17" spans="2:8" x14ac:dyDescent="0.25">
      <c r="C17" s="159"/>
      <c r="E17" s="159"/>
      <c r="G17" s="126"/>
    </row>
    <row r="18" spans="2:8" x14ac:dyDescent="0.25">
      <c r="B18" s="1"/>
      <c r="C18" s="115"/>
      <c r="D18" s="114"/>
      <c r="E18" s="115"/>
      <c r="F18" s="114"/>
      <c r="H18" s="114"/>
    </row>
    <row r="19" spans="2:8" s="1" customFormat="1" x14ac:dyDescent="0.25">
      <c r="B19" s="11" t="s">
        <v>67</v>
      </c>
      <c r="C19" s="12">
        <f>SUM(C11:C18)</f>
        <v>121900</v>
      </c>
      <c r="D19" s="12"/>
      <c r="E19" s="12">
        <f>SUM(E11:E18)</f>
        <v>1623100</v>
      </c>
      <c r="F19" s="12"/>
      <c r="G19" s="12">
        <f>C19-E19</f>
        <v>-1501200</v>
      </c>
      <c r="H19" s="12"/>
    </row>
    <row r="20" spans="2:8" s="6" customFormat="1" ht="18.75" thickBot="1" x14ac:dyDescent="0.3">
      <c r="B20" s="4"/>
      <c r="C20" s="177"/>
      <c r="D20" s="103"/>
      <c r="E20" s="177"/>
      <c r="F20" s="103"/>
      <c r="G20" s="177"/>
      <c r="H20" s="103"/>
    </row>
    <row r="21" spans="2:8" ht="18.75" thickTop="1" x14ac:dyDescent="0.25">
      <c r="C21" s="115"/>
      <c r="E21" s="115"/>
      <c r="G21" s="115"/>
    </row>
    <row r="24" spans="2:8" ht="27.75" x14ac:dyDescent="0.25">
      <c r="B24" s="224" t="s">
        <v>202</v>
      </c>
      <c r="C24" s="225"/>
      <c r="D24" s="225"/>
      <c r="E24" s="225"/>
      <c r="F24" s="225"/>
      <c r="G24" s="226"/>
      <c r="H24" s="178"/>
    </row>
    <row r="25" spans="2:8" ht="39.75" customHeight="1" x14ac:dyDescent="0.25"/>
    <row r="28" spans="2:8" x14ac:dyDescent="0.25">
      <c r="C28" s="104" t="s">
        <v>200</v>
      </c>
      <c r="E28" s="104" t="s">
        <v>212</v>
      </c>
      <c r="G28" s="52"/>
    </row>
    <row r="29" spans="2:8" x14ac:dyDescent="0.25">
      <c r="C29" s="105" t="s">
        <v>95</v>
      </c>
      <c r="E29" s="105" t="s">
        <v>40</v>
      </c>
      <c r="G29" s="61" t="s">
        <v>41</v>
      </c>
    </row>
    <row r="30" spans="2:8" x14ac:dyDescent="0.25">
      <c r="B30" s="3"/>
      <c r="C30" s="106" t="s">
        <v>42</v>
      </c>
      <c r="E30" s="106" t="s">
        <v>42</v>
      </c>
      <c r="G30" s="62" t="s">
        <v>28</v>
      </c>
    </row>
    <row r="31" spans="2:8" x14ac:dyDescent="0.25">
      <c r="C31" s="12"/>
      <c r="E31" s="12"/>
    </row>
    <row r="32" spans="2:8" ht="20.25" x14ac:dyDescent="0.3">
      <c r="B32" s="117" t="s">
        <v>92</v>
      </c>
      <c r="C32" s="12" t="s">
        <v>0</v>
      </c>
      <c r="E32" s="12" t="s">
        <v>0</v>
      </c>
      <c r="G32" s="12" t="s">
        <v>0</v>
      </c>
    </row>
    <row r="34" spans="1:8" x14ac:dyDescent="0.25">
      <c r="B34" s="4" t="s">
        <v>29</v>
      </c>
      <c r="C34" s="12">
        <v>99000</v>
      </c>
      <c r="E34" s="12">
        <f>99000+19000</f>
        <v>118000</v>
      </c>
      <c r="G34" s="103">
        <f t="shared" ref="G34:G39" si="1">C34-E34</f>
        <v>-19000</v>
      </c>
    </row>
    <row r="35" spans="1:8" x14ac:dyDescent="0.25">
      <c r="B35" s="9" t="s">
        <v>93</v>
      </c>
      <c r="C35" s="12">
        <v>215800</v>
      </c>
      <c r="E35" s="12">
        <f>95000+20800+100000</f>
        <v>215800</v>
      </c>
      <c r="G35" s="103">
        <f t="shared" si="1"/>
        <v>0</v>
      </c>
    </row>
    <row r="36" spans="1:8" x14ac:dyDescent="0.25">
      <c r="B36" s="4" t="s">
        <v>94</v>
      </c>
      <c r="C36" s="115">
        <v>-35000</v>
      </c>
      <c r="D36" s="114"/>
      <c r="E36" s="115">
        <v>-35000</v>
      </c>
      <c r="F36" s="114"/>
      <c r="G36" s="114">
        <f t="shared" si="1"/>
        <v>0</v>
      </c>
      <c r="H36" s="114"/>
    </row>
    <row r="37" spans="1:8" x14ac:dyDescent="0.25">
      <c r="C37" s="159"/>
      <c r="E37" s="159"/>
      <c r="G37" s="126"/>
    </row>
    <row r="38" spans="1:8" x14ac:dyDescent="0.25">
      <c r="B38" s="1"/>
      <c r="C38" s="115"/>
      <c r="E38" s="115"/>
    </row>
    <row r="39" spans="1:8" x14ac:dyDescent="0.25">
      <c r="A39" s="1"/>
      <c r="B39" s="11" t="s">
        <v>67</v>
      </c>
      <c r="C39" s="12">
        <f>SUM(C34:C38)</f>
        <v>279800</v>
      </c>
      <c r="E39" s="12">
        <f>SUM(E34:E38)</f>
        <v>298800</v>
      </c>
      <c r="G39" s="12">
        <f t="shared" si="1"/>
        <v>-19000</v>
      </c>
    </row>
    <row r="40" spans="1:8" ht="18.75" thickBot="1" x14ac:dyDescent="0.3">
      <c r="C40" s="174"/>
      <c r="E40" s="174"/>
      <c r="G40" s="174"/>
    </row>
    <row r="41" spans="1:8" ht="18.75" thickTop="1" x14ac:dyDescent="0.25"/>
  </sheetData>
  <customSheetViews>
    <customSheetView guid="{CA1631C2-F325-11D6-AB9C-00B0D0BAF716}" scale="70" showPageBreaks="1" printArea="1" hiddenRows="1" showRuler="0">
      <selection activeCell="F15" sqref="F15"/>
      <pageMargins left="0.43307086614173229" right="0.74803149606299213" top="0.98425196850393704" bottom="0.98425196850393704" header="0.51181102362204722" footer="0.51181102362204722"/>
      <pageSetup paperSize="9" scale="60" firstPageNumber="78" orientation="portrait" useFirstPageNumber="1" horizontalDpi="1200" verticalDpi="1200" r:id="rId1"/>
      <headerFooter alignWithMargins="0">
        <oddHeader xml:space="preserve">&amp;L&amp;14PORTFOLIO HOLDER  CLLR J GRAHAM&amp;R&amp;14BUDGET HOLDER S BIJLE&amp;10
</oddHeader>
        <oddFooter>&amp;C&amp;18&amp;P</oddFooter>
      </headerFooter>
    </customSheetView>
  </customSheetViews>
  <mergeCells count="2">
    <mergeCell ref="B2:G2"/>
    <mergeCell ref="B24:G24"/>
  </mergeCells>
  <phoneticPr fontId="0" type="noConversion"/>
  <pageMargins left="0.59055118110236227" right="0.19685039370078741" top="0.43307086614173229" bottom="1.1811023622047245" header="1.3779527559055118" footer="0.59055118110236227"/>
  <pageSetup paperSize="9" scale="60" firstPageNumber="47" orientation="portrait" useFirstPageNumber="1" horizontalDpi="1200" verticalDpi="1200" r:id="rId2"/>
  <headerFooter alignWithMargins="0">
    <oddFooter>&amp;C&amp;18&amp;P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133"/>
  <sheetViews>
    <sheetView zoomScale="80" zoomScaleNormal="80" workbookViewId="0">
      <selection activeCell="O16" sqref="O16"/>
    </sheetView>
  </sheetViews>
  <sheetFormatPr defaultColWidth="9.28515625" defaultRowHeight="18" x14ac:dyDescent="0.25"/>
  <cols>
    <col min="1" max="1" width="10.28515625" style="4" customWidth="1"/>
    <col min="2" max="2" width="54.28515625" style="4" customWidth="1"/>
    <col min="3" max="3" width="17.28515625" style="24" customWidth="1"/>
    <col min="4" max="4" width="10" style="103" bestFit="1" customWidth="1"/>
    <col min="5" max="5" width="17.28515625" style="24" customWidth="1"/>
    <col min="6" max="6" width="10" style="4" customWidth="1"/>
    <col min="7" max="7" width="16.5703125" style="4" customWidth="1"/>
    <col min="8" max="8" width="15" style="4" bestFit="1" customWidth="1"/>
    <col min="9" max="16384" width="9.28515625" style="4"/>
  </cols>
  <sheetData>
    <row r="1" spans="1:7" x14ac:dyDescent="0.25">
      <c r="C1" s="102"/>
      <c r="E1" s="102"/>
    </row>
    <row r="2" spans="1:7" ht="41.25" customHeight="1" x14ac:dyDescent="0.25">
      <c r="B2" s="214" t="s">
        <v>23</v>
      </c>
      <c r="C2" s="215"/>
      <c r="D2" s="215"/>
      <c r="E2" s="215"/>
      <c r="F2" s="215"/>
      <c r="G2" s="216"/>
    </row>
    <row r="3" spans="1:7" ht="24.75" customHeight="1" x14ac:dyDescent="0.25"/>
    <row r="5" spans="1:7" x14ac:dyDescent="0.25">
      <c r="A5" s="5"/>
      <c r="B5" s="26"/>
      <c r="C5" s="104" t="s">
        <v>200</v>
      </c>
      <c r="E5" s="104" t="s">
        <v>212</v>
      </c>
      <c r="G5" s="52"/>
    </row>
    <row r="6" spans="1:7" x14ac:dyDescent="0.25">
      <c r="C6" s="105" t="s">
        <v>95</v>
      </c>
      <c r="E6" s="105" t="s">
        <v>40</v>
      </c>
      <c r="G6" s="61" t="s">
        <v>41</v>
      </c>
    </row>
    <row r="7" spans="1:7" x14ac:dyDescent="0.25">
      <c r="C7" s="106" t="s">
        <v>42</v>
      </c>
      <c r="E7" s="106" t="s">
        <v>42</v>
      </c>
      <c r="G7" s="62" t="s">
        <v>28</v>
      </c>
    </row>
    <row r="8" spans="1:7" x14ac:dyDescent="0.25">
      <c r="C8" s="23"/>
      <c r="E8" s="23"/>
    </row>
    <row r="9" spans="1:7" ht="20.25" x14ac:dyDescent="0.3">
      <c r="B9" s="118" t="s">
        <v>54</v>
      </c>
      <c r="C9" s="23" t="s">
        <v>0</v>
      </c>
      <c r="E9" s="23" t="s">
        <v>0</v>
      </c>
      <c r="G9" s="12" t="s">
        <v>0</v>
      </c>
    </row>
    <row r="11" spans="1:7" ht="20.25" x14ac:dyDescent="0.3">
      <c r="B11" s="119" t="s">
        <v>52</v>
      </c>
      <c r="C11" s="23">
        <f>C52</f>
        <v>656600</v>
      </c>
      <c r="E11" s="23">
        <f>E52</f>
        <v>712200</v>
      </c>
      <c r="G11" s="4">
        <f>C11-E11</f>
        <v>-55600</v>
      </c>
    </row>
    <row r="12" spans="1:7" ht="20.25" x14ac:dyDescent="0.3">
      <c r="B12" s="119"/>
      <c r="C12" s="23"/>
      <c r="E12" s="23"/>
    </row>
    <row r="13" spans="1:7" ht="20.25" x14ac:dyDescent="0.3">
      <c r="B13" s="120" t="s">
        <v>53</v>
      </c>
      <c r="C13" s="23">
        <f>C81</f>
        <v>246100</v>
      </c>
      <c r="E13" s="23">
        <f>E81</f>
        <v>243600</v>
      </c>
      <c r="G13" s="4">
        <f t="shared" ref="G13:G20" si="0">C13-E13</f>
        <v>2500</v>
      </c>
    </row>
    <row r="14" spans="1:7" ht="20.25" x14ac:dyDescent="0.3">
      <c r="B14" s="121"/>
      <c r="C14" s="23"/>
      <c r="E14" s="23"/>
    </row>
    <row r="15" spans="1:7" ht="20.25" x14ac:dyDescent="0.3">
      <c r="B15" s="121" t="s">
        <v>4</v>
      </c>
      <c r="C15" s="23">
        <f>C104</f>
        <v>46500</v>
      </c>
      <c r="E15" s="23">
        <f>E104</f>
        <v>43000</v>
      </c>
      <c r="G15" s="4">
        <f t="shared" si="0"/>
        <v>3500</v>
      </c>
    </row>
    <row r="16" spans="1:7" ht="20.25" x14ac:dyDescent="0.3">
      <c r="B16" s="121"/>
      <c r="C16" s="23"/>
      <c r="E16" s="23"/>
    </row>
    <row r="17" spans="1:20" ht="20.25" x14ac:dyDescent="0.3">
      <c r="B17" s="122" t="s">
        <v>12</v>
      </c>
      <c r="C17" s="107">
        <f>C131</f>
        <v>88700</v>
      </c>
      <c r="D17" s="108"/>
      <c r="E17" s="107">
        <f>E131</f>
        <v>91700</v>
      </c>
      <c r="G17" s="4">
        <f t="shared" si="0"/>
        <v>-3000</v>
      </c>
    </row>
    <row r="18" spans="1:20" x14ac:dyDescent="0.25">
      <c r="B18" s="38"/>
      <c r="C18" s="107"/>
      <c r="D18" s="108"/>
      <c r="E18" s="107"/>
    </row>
    <row r="19" spans="1:20" x14ac:dyDescent="0.25">
      <c r="C19" s="109"/>
      <c r="E19" s="109"/>
      <c r="G19" s="109"/>
    </row>
    <row r="20" spans="1:20" ht="20.25" x14ac:dyDescent="0.3">
      <c r="B20" s="117" t="s">
        <v>55</v>
      </c>
      <c r="C20" s="23">
        <f>SUM(C11:C18)</f>
        <v>1037900</v>
      </c>
      <c r="E20" s="23">
        <f>SUM(E11:E18)</f>
        <v>1090500</v>
      </c>
      <c r="G20" s="23">
        <f t="shared" si="0"/>
        <v>-52600</v>
      </c>
    </row>
    <row r="21" spans="1:20" ht="18.75" thickBot="1" x14ac:dyDescent="0.3">
      <c r="B21" s="6"/>
      <c r="C21" s="110"/>
      <c r="E21" s="110"/>
      <c r="G21" s="110"/>
    </row>
    <row r="22" spans="1:20" ht="18.75" thickTop="1" x14ac:dyDescent="0.25"/>
    <row r="26" spans="1:20" ht="40.5" customHeight="1" x14ac:dyDescent="0.25">
      <c r="B26" s="214" t="s">
        <v>23</v>
      </c>
      <c r="C26" s="215"/>
      <c r="D26" s="215"/>
      <c r="E26" s="215"/>
      <c r="F26" s="215"/>
      <c r="G26" s="216"/>
    </row>
    <row r="27" spans="1:20" ht="27" x14ac:dyDescent="0.35">
      <c r="A27" s="21"/>
      <c r="B27" s="21"/>
      <c r="C27" s="111"/>
      <c r="E27" s="111"/>
      <c r="F27" s="21"/>
      <c r="G27" s="21"/>
    </row>
    <row r="28" spans="1:20" x14ac:dyDescent="0.25"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  <row r="29" spans="1:20" x14ac:dyDescent="0.25">
      <c r="A29" s="5"/>
      <c r="B29" s="26"/>
      <c r="C29" s="104" t="s">
        <v>200</v>
      </c>
      <c r="E29" s="104" t="s">
        <v>212</v>
      </c>
      <c r="G29" s="52"/>
      <c r="H29" s="82"/>
      <c r="I29" s="20"/>
      <c r="J29" s="20"/>
      <c r="K29" s="20"/>
      <c r="L29" s="20"/>
      <c r="M29" s="20"/>
      <c r="N29" s="20"/>
      <c r="O29" s="20"/>
      <c r="P29" s="83"/>
      <c r="Q29" s="82"/>
      <c r="R29" s="84"/>
      <c r="S29" s="20"/>
      <c r="T29" s="20"/>
    </row>
    <row r="30" spans="1:20" x14ac:dyDescent="0.25">
      <c r="C30" s="105" t="s">
        <v>95</v>
      </c>
      <c r="E30" s="105" t="s">
        <v>40</v>
      </c>
      <c r="G30" s="61" t="s">
        <v>41</v>
      </c>
      <c r="H30" s="86"/>
      <c r="I30" s="20"/>
      <c r="J30" s="87"/>
      <c r="K30" s="20"/>
      <c r="L30" s="20"/>
      <c r="M30" s="20"/>
      <c r="N30" s="20"/>
      <c r="O30" s="20"/>
      <c r="P30" s="82"/>
      <c r="Q30" s="88"/>
      <c r="R30" s="31"/>
      <c r="S30" s="20"/>
      <c r="T30" s="20"/>
    </row>
    <row r="31" spans="1:20" x14ac:dyDescent="0.25">
      <c r="C31" s="106" t="s">
        <v>42</v>
      </c>
      <c r="E31" s="106" t="s">
        <v>42</v>
      </c>
      <c r="G31" s="62" t="s">
        <v>28</v>
      </c>
      <c r="H31" s="20"/>
      <c r="I31" s="20"/>
      <c r="J31" s="20"/>
      <c r="K31" s="89"/>
      <c r="L31" s="89"/>
      <c r="M31" s="20"/>
      <c r="N31" s="20"/>
      <c r="O31" s="20"/>
      <c r="P31" s="86"/>
      <c r="Q31" s="86"/>
      <c r="R31" s="31"/>
      <c r="S31" s="20"/>
      <c r="T31" s="20"/>
    </row>
    <row r="32" spans="1:20" x14ac:dyDescent="0.25">
      <c r="C32" s="23"/>
      <c r="E32" s="23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18"/>
      <c r="S32" s="20"/>
      <c r="T32" s="20"/>
    </row>
    <row r="33" spans="1:20" ht="20.25" x14ac:dyDescent="0.3">
      <c r="B33" s="117" t="s">
        <v>52</v>
      </c>
      <c r="C33" s="23" t="s">
        <v>0</v>
      </c>
      <c r="E33" s="23" t="s">
        <v>0</v>
      </c>
      <c r="G33" s="12" t="s">
        <v>0</v>
      </c>
      <c r="H33" s="86"/>
      <c r="I33" s="20"/>
      <c r="J33" s="20"/>
      <c r="K33" s="20"/>
      <c r="L33" s="20"/>
      <c r="M33" s="20"/>
      <c r="N33" s="20"/>
      <c r="O33" s="20"/>
      <c r="P33" s="86"/>
      <c r="Q33" s="20"/>
      <c r="R33" s="90"/>
      <c r="S33" s="20"/>
      <c r="T33" s="20"/>
    </row>
    <row r="34" spans="1:20" x14ac:dyDescent="0.25"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 x14ac:dyDescent="0.25">
      <c r="B35" s="4" t="s">
        <v>6</v>
      </c>
      <c r="C35" s="12">
        <f>723600+69100</f>
        <v>792700</v>
      </c>
      <c r="E35" s="12">
        <f>723600+5200-800+50200+10200-37500+33600</f>
        <v>784500</v>
      </c>
      <c r="G35" s="4">
        <f t="shared" ref="G35:G39" si="1">C35-E35</f>
        <v>8200</v>
      </c>
      <c r="I35" s="20"/>
      <c r="J35" s="20"/>
      <c r="K35" s="20"/>
      <c r="L35" s="20"/>
      <c r="M35" s="20"/>
      <c r="N35" s="20"/>
      <c r="O35" s="20"/>
      <c r="P35" s="20"/>
      <c r="Q35" s="20"/>
      <c r="R35" s="18"/>
      <c r="S35" s="20"/>
      <c r="T35" s="20"/>
    </row>
    <row r="36" spans="1:20" x14ac:dyDescent="0.25">
      <c r="B36" s="4" t="s">
        <v>25</v>
      </c>
      <c r="C36" s="23">
        <v>1000</v>
      </c>
      <c r="E36" s="23">
        <f>1000-500</f>
        <v>500</v>
      </c>
      <c r="G36" s="4">
        <f t="shared" si="1"/>
        <v>500</v>
      </c>
      <c r="I36" s="20"/>
      <c r="J36" s="20"/>
      <c r="K36" s="20"/>
      <c r="L36" s="20"/>
      <c r="M36" s="20"/>
      <c r="N36" s="20"/>
      <c r="O36" s="20"/>
      <c r="P36" s="20"/>
      <c r="Q36" s="20"/>
      <c r="R36" s="18"/>
      <c r="S36" s="20"/>
      <c r="T36" s="20"/>
    </row>
    <row r="37" spans="1:20" x14ac:dyDescent="0.25">
      <c r="B37" s="4" t="s">
        <v>56</v>
      </c>
      <c r="C37" s="23">
        <v>123900</v>
      </c>
      <c r="E37" s="23">
        <f>123900+46100-6800</f>
        <v>163200</v>
      </c>
      <c r="G37" s="4">
        <f t="shared" si="1"/>
        <v>-39300</v>
      </c>
      <c r="I37" s="20"/>
      <c r="J37" s="20"/>
      <c r="K37" s="20"/>
      <c r="L37" s="20"/>
      <c r="M37" s="20"/>
      <c r="N37" s="20"/>
      <c r="O37" s="20"/>
      <c r="P37" s="20"/>
      <c r="Q37" s="20"/>
      <c r="R37" s="18"/>
      <c r="S37" s="20"/>
      <c r="T37" s="20"/>
    </row>
    <row r="38" spans="1:20" x14ac:dyDescent="0.25">
      <c r="B38" s="4" t="s">
        <v>57</v>
      </c>
      <c r="C38" s="23">
        <v>0</v>
      </c>
      <c r="E38" s="23">
        <v>0</v>
      </c>
      <c r="G38" s="4">
        <f t="shared" si="1"/>
        <v>0</v>
      </c>
      <c r="I38" s="20"/>
      <c r="J38" s="20"/>
      <c r="K38" s="20"/>
      <c r="L38" s="20"/>
      <c r="M38" s="20"/>
      <c r="N38" s="20"/>
      <c r="O38" s="20"/>
      <c r="P38" s="20"/>
      <c r="Q38" s="20"/>
      <c r="R38" s="18"/>
      <c r="S38" s="20"/>
      <c r="T38" s="20"/>
    </row>
    <row r="39" spans="1:20" x14ac:dyDescent="0.25">
      <c r="B39" s="4" t="s">
        <v>10</v>
      </c>
      <c r="C39" s="23">
        <v>50000</v>
      </c>
      <c r="E39" s="23">
        <f>50000+399000+55000-454000</f>
        <v>50000</v>
      </c>
      <c r="G39" s="4">
        <f t="shared" si="1"/>
        <v>0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18"/>
      <c r="S39" s="20"/>
      <c r="T39" s="20"/>
    </row>
    <row r="40" spans="1:20" x14ac:dyDescent="0.25">
      <c r="B40" s="7"/>
      <c r="C40" s="112"/>
      <c r="E40" s="112"/>
      <c r="G40" s="10"/>
      <c r="H40" s="20"/>
      <c r="I40" s="20"/>
      <c r="J40" s="88"/>
      <c r="K40" s="20"/>
      <c r="L40" s="20"/>
      <c r="M40" s="20"/>
      <c r="N40" s="20"/>
      <c r="O40" s="20"/>
      <c r="P40" s="20"/>
      <c r="Q40" s="20"/>
      <c r="R40" s="18"/>
      <c r="S40" s="20"/>
      <c r="T40" s="20"/>
    </row>
    <row r="41" spans="1:20" x14ac:dyDescent="0.25">
      <c r="C41" s="109"/>
      <c r="E41" s="109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18"/>
      <c r="S41" s="20"/>
      <c r="T41" s="20"/>
    </row>
    <row r="42" spans="1:20" s="6" customFormat="1" x14ac:dyDescent="0.25">
      <c r="B42" s="6" t="s">
        <v>67</v>
      </c>
      <c r="C42" s="23">
        <f>SUM(C35:C41)</f>
        <v>967600</v>
      </c>
      <c r="D42" s="12"/>
      <c r="E42" s="23">
        <f>SUM(E35:E40)</f>
        <v>998200</v>
      </c>
      <c r="G42" s="6">
        <f>C42-E42</f>
        <v>-30600</v>
      </c>
      <c r="H42" s="94"/>
      <c r="I42" s="18"/>
      <c r="J42" s="18"/>
      <c r="K42" s="18"/>
      <c r="L42" s="18"/>
      <c r="M42" s="18"/>
      <c r="N42" s="18"/>
      <c r="O42" s="18"/>
      <c r="P42" s="94"/>
      <c r="Q42" s="18"/>
      <c r="R42" s="95"/>
      <c r="S42" s="18"/>
      <c r="T42" s="18"/>
    </row>
    <row r="43" spans="1:20" ht="19.5" customHeight="1" x14ac:dyDescent="0.25">
      <c r="C43" s="23"/>
      <c r="E43" s="23"/>
      <c r="H43" s="20"/>
      <c r="I43" s="20"/>
      <c r="J43" s="20"/>
      <c r="K43" s="80"/>
      <c r="L43" s="20"/>
      <c r="M43" s="20"/>
      <c r="N43" s="20"/>
      <c r="O43" s="20"/>
      <c r="P43" s="20"/>
      <c r="Q43" s="20"/>
      <c r="R43" s="18"/>
      <c r="S43" s="20"/>
      <c r="T43" s="20"/>
    </row>
    <row r="44" spans="1:20" x14ac:dyDescent="0.25">
      <c r="B44" s="7" t="s">
        <v>26</v>
      </c>
      <c r="C44" s="113">
        <v>135000</v>
      </c>
      <c r="E44" s="113">
        <f>135000-25000</f>
        <v>110000</v>
      </c>
      <c r="G44" s="4">
        <f>E44-C44</f>
        <v>-25000</v>
      </c>
      <c r="H44" s="20"/>
      <c r="I44" s="20"/>
      <c r="J44" s="80"/>
      <c r="K44" s="20"/>
      <c r="L44" s="20"/>
      <c r="M44" s="20"/>
      <c r="N44" s="20"/>
      <c r="O44" s="20"/>
      <c r="P44" s="20"/>
      <c r="Q44" s="20"/>
      <c r="R44" s="18"/>
      <c r="S44" s="20"/>
      <c r="T44" s="20"/>
    </row>
    <row r="45" spans="1:20" x14ac:dyDescent="0.25">
      <c r="B45" s="7" t="s">
        <v>168</v>
      </c>
      <c r="C45" s="113">
        <v>140000</v>
      </c>
      <c r="E45" s="113">
        <v>140000</v>
      </c>
      <c r="G45" s="4">
        <f>E45-C45</f>
        <v>0</v>
      </c>
      <c r="H45" s="20"/>
      <c r="I45" s="20"/>
      <c r="J45" s="80"/>
      <c r="K45" s="20"/>
      <c r="L45" s="20"/>
      <c r="M45" s="20"/>
      <c r="N45" s="20"/>
      <c r="O45" s="20"/>
      <c r="P45" s="20"/>
      <c r="Q45" s="20"/>
      <c r="R45" s="18"/>
      <c r="S45" s="20"/>
      <c r="T45" s="20"/>
    </row>
    <row r="46" spans="1:20" x14ac:dyDescent="0.25">
      <c r="B46" s="7" t="s">
        <v>59</v>
      </c>
      <c r="C46" s="113">
        <v>36000</v>
      </c>
      <c r="E46" s="113">
        <v>36000</v>
      </c>
      <c r="G46" s="4">
        <f>E46-C46</f>
        <v>0</v>
      </c>
      <c r="H46" s="20"/>
      <c r="I46" s="20"/>
      <c r="J46" s="80"/>
      <c r="K46" s="20"/>
      <c r="L46" s="20"/>
      <c r="M46" s="20"/>
      <c r="N46" s="20"/>
      <c r="O46" s="20"/>
      <c r="P46" s="20"/>
      <c r="Q46" s="20"/>
      <c r="R46" s="18"/>
      <c r="S46" s="20"/>
      <c r="T46" s="20"/>
    </row>
    <row r="47" spans="1:20" x14ac:dyDescent="0.25">
      <c r="C47" s="113"/>
      <c r="E47" s="113"/>
      <c r="G47" s="10"/>
      <c r="H47" s="20"/>
      <c r="I47" s="20"/>
      <c r="J47" s="80"/>
      <c r="K47" s="20"/>
      <c r="L47" s="20"/>
      <c r="M47" s="20"/>
      <c r="N47" s="20"/>
      <c r="O47" s="20"/>
      <c r="P47" s="20"/>
      <c r="Q47" s="20"/>
      <c r="R47" s="18"/>
      <c r="S47" s="20"/>
      <c r="T47" s="20"/>
    </row>
    <row r="48" spans="1:20" x14ac:dyDescent="0.25">
      <c r="A48" s="1"/>
      <c r="B48" s="1"/>
      <c r="C48" s="109"/>
      <c r="D48" s="114"/>
      <c r="E48" s="109"/>
      <c r="H48" s="20"/>
      <c r="I48" s="20"/>
      <c r="J48" s="80"/>
      <c r="K48" s="20"/>
      <c r="L48" s="20"/>
      <c r="M48" s="20"/>
      <c r="N48" s="20"/>
      <c r="O48" s="20"/>
      <c r="P48" s="20"/>
      <c r="Q48" s="20"/>
      <c r="R48" s="18"/>
      <c r="S48" s="20"/>
      <c r="T48" s="20"/>
    </row>
    <row r="49" spans="1:20" x14ac:dyDescent="0.25">
      <c r="B49" s="13" t="s">
        <v>58</v>
      </c>
      <c r="C49" s="113">
        <f>SUM(C43:C47)</f>
        <v>311000</v>
      </c>
      <c r="E49" s="113">
        <f>SUM(E43:E47)</f>
        <v>286000</v>
      </c>
      <c r="G49" s="6">
        <f>E49-C49</f>
        <v>-25000</v>
      </c>
      <c r="H49" s="20"/>
      <c r="I49" s="20"/>
      <c r="J49" s="96"/>
      <c r="K49" s="20"/>
      <c r="L49" s="20"/>
      <c r="M49" s="20"/>
      <c r="N49" s="20"/>
      <c r="O49" s="20"/>
      <c r="P49" s="20"/>
      <c r="Q49" s="20"/>
      <c r="R49" s="18"/>
      <c r="S49" s="20"/>
      <c r="T49" s="20"/>
    </row>
    <row r="50" spans="1:20" s="1" customFormat="1" x14ac:dyDescent="0.25">
      <c r="C50" s="113"/>
      <c r="D50" s="114"/>
      <c r="E50" s="113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18"/>
      <c r="S50" s="20"/>
      <c r="T50" s="20"/>
    </row>
    <row r="51" spans="1:20" s="1" customFormat="1" x14ac:dyDescent="0.25">
      <c r="C51" s="109"/>
      <c r="D51" s="114"/>
      <c r="E51" s="109"/>
      <c r="G51" s="109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18"/>
      <c r="S51" s="20"/>
      <c r="T51" s="20"/>
    </row>
    <row r="52" spans="1:20" s="6" customFormat="1" x14ac:dyDescent="0.25">
      <c r="B52" s="11" t="s">
        <v>55</v>
      </c>
      <c r="C52" s="23">
        <f>C42-C49</f>
        <v>656600</v>
      </c>
      <c r="D52" s="12"/>
      <c r="E52" s="23">
        <f>E42-E49</f>
        <v>712200</v>
      </c>
      <c r="G52" s="23">
        <f>C52-E52</f>
        <v>-55600</v>
      </c>
      <c r="H52" s="18"/>
      <c r="I52" s="18"/>
      <c r="J52" s="97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1:20" ht="18.75" thickBot="1" x14ac:dyDescent="0.3">
      <c r="B53" s="11"/>
      <c r="C53" s="110"/>
      <c r="E53" s="110"/>
      <c r="G53" s="110"/>
      <c r="H53" s="20"/>
      <c r="I53" s="20"/>
      <c r="J53" s="97"/>
      <c r="K53" s="20"/>
      <c r="L53" s="20"/>
      <c r="M53" s="20"/>
      <c r="N53" s="20"/>
      <c r="O53" s="20"/>
      <c r="P53" s="20"/>
      <c r="Q53" s="20"/>
      <c r="R53" s="18"/>
      <c r="S53" s="20"/>
      <c r="T53" s="20"/>
    </row>
    <row r="54" spans="1:20" ht="18.75" thickTop="1" x14ac:dyDescent="0.25">
      <c r="C54" s="23"/>
      <c r="E54" s="23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18"/>
      <c r="S54" s="20"/>
      <c r="T54" s="20"/>
    </row>
    <row r="55" spans="1:20" x14ac:dyDescent="0.25">
      <c r="B55" s="6"/>
      <c r="C55" s="113"/>
      <c r="E55" s="113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</row>
    <row r="56" spans="1:20" x14ac:dyDescent="0.25">
      <c r="B56" s="6"/>
      <c r="C56" s="113"/>
      <c r="E56" s="113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1:20" x14ac:dyDescent="0.25"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</row>
    <row r="58" spans="1:20" ht="41.25" customHeight="1" x14ac:dyDescent="0.35">
      <c r="A58" s="101"/>
      <c r="B58" s="214" t="s">
        <v>23</v>
      </c>
      <c r="C58" s="215"/>
      <c r="D58" s="215"/>
      <c r="E58" s="215"/>
      <c r="F58" s="215"/>
      <c r="G58" s="216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spans="1:20" ht="27" x14ac:dyDescent="0.35">
      <c r="A59" s="21"/>
      <c r="B59" s="21"/>
      <c r="C59" s="111"/>
      <c r="E59" s="111"/>
    </row>
    <row r="61" spans="1:20" x14ac:dyDescent="0.25">
      <c r="A61" s="5"/>
      <c r="B61" s="26"/>
      <c r="C61" s="104" t="s">
        <v>200</v>
      </c>
      <c r="E61" s="104" t="s">
        <v>212</v>
      </c>
      <c r="G61" s="52"/>
    </row>
    <row r="62" spans="1:20" x14ac:dyDescent="0.25">
      <c r="C62" s="105" t="s">
        <v>95</v>
      </c>
      <c r="E62" s="105" t="s">
        <v>40</v>
      </c>
      <c r="G62" s="61" t="s">
        <v>41</v>
      </c>
    </row>
    <row r="63" spans="1:20" x14ac:dyDescent="0.25">
      <c r="C63" s="106" t="s">
        <v>42</v>
      </c>
      <c r="E63" s="106" t="s">
        <v>42</v>
      </c>
      <c r="G63" s="62" t="s">
        <v>28</v>
      </c>
    </row>
    <row r="64" spans="1:20" x14ac:dyDescent="0.25">
      <c r="C64" s="23"/>
      <c r="E64" s="23"/>
    </row>
    <row r="65" spans="1:7" ht="20.25" x14ac:dyDescent="0.3">
      <c r="B65" s="117" t="s">
        <v>53</v>
      </c>
      <c r="C65" s="23" t="s">
        <v>0</v>
      </c>
      <c r="E65" s="23" t="s">
        <v>0</v>
      </c>
      <c r="G65" s="23" t="s">
        <v>0</v>
      </c>
    </row>
    <row r="67" spans="1:7" x14ac:dyDescent="0.25">
      <c r="B67" s="4" t="s">
        <v>6</v>
      </c>
      <c r="C67" s="23">
        <f>1634100-69100</f>
        <v>1565000</v>
      </c>
      <c r="E67" s="23">
        <f>1634100+15500-6000-12400+19400-90100+70900</f>
        <v>1631400</v>
      </c>
      <c r="G67" s="4">
        <f>C67-E67</f>
        <v>-66400</v>
      </c>
    </row>
    <row r="68" spans="1:7" x14ac:dyDescent="0.25">
      <c r="B68" s="4" t="s">
        <v>25</v>
      </c>
      <c r="C68" s="23">
        <v>1500</v>
      </c>
      <c r="E68" s="23">
        <f>2000-500</f>
        <v>1500</v>
      </c>
      <c r="G68" s="4">
        <f>C68-E68</f>
        <v>0</v>
      </c>
    </row>
    <row r="69" spans="1:7" x14ac:dyDescent="0.25">
      <c r="B69" s="4" t="s">
        <v>56</v>
      </c>
      <c r="C69" s="23">
        <v>145800</v>
      </c>
      <c r="E69" s="23">
        <f>145800+11100-15000</f>
        <v>141900</v>
      </c>
      <c r="G69" s="4">
        <f>C69-E69</f>
        <v>3900</v>
      </c>
    </row>
    <row r="70" spans="1:7" x14ac:dyDescent="0.25">
      <c r="B70" s="4" t="s">
        <v>57</v>
      </c>
      <c r="C70" s="12">
        <v>36000</v>
      </c>
      <c r="E70" s="12">
        <v>36000</v>
      </c>
      <c r="G70" s="4">
        <f>C70-E70</f>
        <v>0</v>
      </c>
    </row>
    <row r="71" spans="1:7" x14ac:dyDescent="0.25">
      <c r="B71" s="7"/>
      <c r="C71" s="113"/>
      <c r="E71" s="113"/>
      <c r="G71" s="10"/>
    </row>
    <row r="72" spans="1:7" x14ac:dyDescent="0.25">
      <c r="A72" s="6"/>
      <c r="B72" s="6" t="s">
        <v>67</v>
      </c>
      <c r="C72" s="109">
        <f>SUM(C67:C71)</f>
        <v>1748300</v>
      </c>
      <c r="E72" s="109">
        <f>SUM(E67:E71)</f>
        <v>1810800</v>
      </c>
      <c r="G72" s="6">
        <f>SUM(G67:G71)</f>
        <v>-62500</v>
      </c>
    </row>
    <row r="73" spans="1:7" x14ac:dyDescent="0.25">
      <c r="C73" s="23"/>
      <c r="E73" s="23"/>
    </row>
    <row r="74" spans="1:7" x14ac:dyDescent="0.25">
      <c r="B74" s="7" t="s">
        <v>26</v>
      </c>
      <c r="C74" s="23">
        <v>1462200</v>
      </c>
      <c r="D74" s="24"/>
      <c r="E74" s="23">
        <f>1462200+25000+40000</f>
        <v>1527200</v>
      </c>
      <c r="G74" s="4">
        <f>E74-C74</f>
        <v>65000</v>
      </c>
    </row>
    <row r="75" spans="1:7" x14ac:dyDescent="0.25">
      <c r="B75" s="7" t="s">
        <v>168</v>
      </c>
      <c r="C75" s="23">
        <v>40000</v>
      </c>
      <c r="D75" s="24"/>
      <c r="E75" s="23">
        <v>40000</v>
      </c>
      <c r="G75" s="4">
        <f>E75-C75</f>
        <v>0</v>
      </c>
    </row>
    <row r="76" spans="1:7" s="6" customFormat="1" x14ac:dyDescent="0.25">
      <c r="A76" s="4"/>
      <c r="B76" s="7"/>
      <c r="C76" s="113"/>
      <c r="D76" s="23"/>
      <c r="E76" s="113"/>
      <c r="G76" s="10"/>
    </row>
    <row r="77" spans="1:7" s="6" customFormat="1" x14ac:dyDescent="0.25">
      <c r="A77" s="1"/>
      <c r="B77" s="14"/>
      <c r="C77" s="109"/>
      <c r="D77" s="115"/>
      <c r="E77" s="109"/>
      <c r="G77" s="4"/>
    </row>
    <row r="78" spans="1:7" x14ac:dyDescent="0.25">
      <c r="B78" s="13" t="s">
        <v>58</v>
      </c>
      <c r="C78" s="113">
        <f>SUM(C74:C76)</f>
        <v>1502200</v>
      </c>
      <c r="E78" s="113">
        <f>SUM(E74:E76)</f>
        <v>1567200</v>
      </c>
      <c r="G78" s="6">
        <f>SUM(G74:G77)</f>
        <v>65000</v>
      </c>
    </row>
    <row r="79" spans="1:7" x14ac:dyDescent="0.25">
      <c r="A79" s="6"/>
      <c r="C79" s="23"/>
      <c r="E79" s="23"/>
    </row>
    <row r="80" spans="1:7" x14ac:dyDescent="0.25">
      <c r="A80" s="6"/>
      <c r="C80" s="109"/>
      <c r="E80" s="109"/>
      <c r="G80" s="109"/>
    </row>
    <row r="81" spans="1:7" x14ac:dyDescent="0.25">
      <c r="A81" s="6"/>
      <c r="B81" s="11" t="s">
        <v>55</v>
      </c>
      <c r="C81" s="23">
        <f>C72-C78</f>
        <v>246100</v>
      </c>
      <c r="E81" s="23">
        <f>E72-E78</f>
        <v>243600</v>
      </c>
      <c r="G81" s="23">
        <f>C81-E81</f>
        <v>2500</v>
      </c>
    </row>
    <row r="82" spans="1:7" ht="18.75" thickBot="1" x14ac:dyDescent="0.3">
      <c r="C82" s="110"/>
      <c r="E82" s="110"/>
      <c r="G82" s="110"/>
    </row>
    <row r="83" spans="1:7" ht="18.75" thickTop="1" x14ac:dyDescent="0.25">
      <c r="C83" s="113"/>
      <c r="E83" s="113"/>
    </row>
    <row r="84" spans="1:7" x14ac:dyDescent="0.25">
      <c r="C84" s="113"/>
      <c r="E84" s="113"/>
    </row>
    <row r="85" spans="1:7" x14ac:dyDescent="0.25">
      <c r="C85" s="113"/>
      <c r="E85" s="113"/>
    </row>
    <row r="86" spans="1:7" ht="41.25" customHeight="1" x14ac:dyDescent="0.35">
      <c r="A86" s="101"/>
      <c r="B86" s="214" t="s">
        <v>23</v>
      </c>
      <c r="C86" s="215"/>
      <c r="D86" s="215"/>
      <c r="E86" s="215"/>
      <c r="F86" s="215"/>
      <c r="G86" s="216"/>
    </row>
    <row r="87" spans="1:7" ht="27" x14ac:dyDescent="0.35">
      <c r="A87" s="21"/>
      <c r="B87" s="21"/>
      <c r="C87" s="111"/>
      <c r="E87" s="111"/>
    </row>
    <row r="89" spans="1:7" x14ac:dyDescent="0.25">
      <c r="A89" s="5"/>
      <c r="B89" s="26"/>
      <c r="C89" s="104" t="s">
        <v>200</v>
      </c>
      <c r="E89" s="104" t="s">
        <v>212</v>
      </c>
      <c r="G89" s="52"/>
    </row>
    <row r="90" spans="1:7" x14ac:dyDescent="0.25">
      <c r="C90" s="105" t="s">
        <v>95</v>
      </c>
      <c r="E90" s="105" t="s">
        <v>40</v>
      </c>
      <c r="G90" s="61" t="s">
        <v>41</v>
      </c>
    </row>
    <row r="91" spans="1:7" x14ac:dyDescent="0.25">
      <c r="C91" s="106" t="s">
        <v>42</v>
      </c>
      <c r="E91" s="106" t="s">
        <v>42</v>
      </c>
      <c r="G91" s="62" t="s">
        <v>28</v>
      </c>
    </row>
    <row r="92" spans="1:7" x14ac:dyDescent="0.25">
      <c r="C92" s="23"/>
      <c r="E92" s="23"/>
    </row>
    <row r="93" spans="1:7" ht="20.25" x14ac:dyDescent="0.3">
      <c r="B93" s="118" t="s">
        <v>4</v>
      </c>
      <c r="C93" s="23" t="s">
        <v>0</v>
      </c>
      <c r="E93" s="23" t="s">
        <v>0</v>
      </c>
      <c r="G93" s="23" t="s">
        <v>0</v>
      </c>
    </row>
    <row r="95" spans="1:7" x14ac:dyDescent="0.25">
      <c r="B95" s="4" t="s">
        <v>56</v>
      </c>
      <c r="C95" s="23">
        <v>1000</v>
      </c>
      <c r="E95" s="23">
        <f>1200-200</f>
        <v>1000</v>
      </c>
      <c r="G95" s="4">
        <f>C95-E95</f>
        <v>0</v>
      </c>
    </row>
    <row r="96" spans="1:7" x14ac:dyDescent="0.25">
      <c r="B96" s="4" t="s">
        <v>57</v>
      </c>
      <c r="C96" s="23">
        <v>51000</v>
      </c>
      <c r="E96" s="23">
        <f>51000-8000+10000-8000</f>
        <v>45000</v>
      </c>
      <c r="G96" s="4">
        <f>C96-E96</f>
        <v>6000</v>
      </c>
    </row>
    <row r="97" spans="1:7" x14ac:dyDescent="0.25">
      <c r="C97" s="112"/>
      <c r="E97" s="112"/>
      <c r="G97" s="10"/>
    </row>
    <row r="98" spans="1:7" x14ac:dyDescent="0.25">
      <c r="C98" s="113"/>
      <c r="E98" s="113"/>
    </row>
    <row r="99" spans="1:7" s="6" customFormat="1" x14ac:dyDescent="0.25">
      <c r="B99" s="6" t="s">
        <v>67</v>
      </c>
      <c r="C99" s="23">
        <f>SUM(C95:C98)</f>
        <v>52000</v>
      </c>
      <c r="D99" s="12"/>
      <c r="E99" s="23">
        <f>SUM(E94:E97)</f>
        <v>46000</v>
      </c>
      <c r="G99" s="6">
        <f>SUM(G95:G98)</f>
        <v>6000</v>
      </c>
    </row>
    <row r="100" spans="1:7" x14ac:dyDescent="0.25">
      <c r="C100" s="23"/>
      <c r="E100" s="23"/>
    </row>
    <row r="101" spans="1:7" x14ac:dyDescent="0.25">
      <c r="B101" s="4" t="s">
        <v>26</v>
      </c>
      <c r="C101" s="23">
        <v>5500</v>
      </c>
      <c r="E101" s="23">
        <f>5500-2500</f>
        <v>3000</v>
      </c>
      <c r="G101" s="4">
        <f>E101-C101</f>
        <v>-2500</v>
      </c>
    </row>
    <row r="102" spans="1:7" x14ac:dyDescent="0.25">
      <c r="C102" s="112"/>
      <c r="E102" s="112"/>
      <c r="G102" s="10"/>
    </row>
    <row r="103" spans="1:7" x14ac:dyDescent="0.25">
      <c r="C103" s="113"/>
      <c r="E103" s="113"/>
      <c r="G103" s="113"/>
    </row>
    <row r="104" spans="1:7" s="6" customFormat="1" x14ac:dyDescent="0.25">
      <c r="B104" s="11" t="s">
        <v>55</v>
      </c>
      <c r="C104" s="113">
        <f>+C99-C101</f>
        <v>46500</v>
      </c>
      <c r="D104" s="12"/>
      <c r="E104" s="113">
        <f>+E99-E101</f>
        <v>43000</v>
      </c>
      <c r="G104" s="23">
        <f>C104-E104</f>
        <v>3500</v>
      </c>
    </row>
    <row r="105" spans="1:7" ht="18.75" thickBot="1" x14ac:dyDescent="0.3">
      <c r="C105" s="116"/>
      <c r="E105" s="116"/>
      <c r="G105" s="116"/>
    </row>
    <row r="106" spans="1:7" ht="18.75" thickTop="1" x14ac:dyDescent="0.25">
      <c r="C106" s="113"/>
      <c r="E106" s="113"/>
    </row>
    <row r="107" spans="1:7" x14ac:dyDescent="0.25">
      <c r="C107" s="113"/>
      <c r="E107" s="113"/>
    </row>
    <row r="110" spans="1:7" ht="41.25" customHeight="1" x14ac:dyDescent="0.35">
      <c r="A110" s="101"/>
      <c r="B110" s="214" t="s">
        <v>23</v>
      </c>
      <c r="C110" s="215"/>
      <c r="D110" s="215"/>
      <c r="E110" s="215"/>
      <c r="F110" s="215"/>
      <c r="G110" s="216"/>
    </row>
    <row r="111" spans="1:7" ht="27" x14ac:dyDescent="0.35">
      <c r="A111" s="21"/>
      <c r="B111" s="21"/>
      <c r="C111" s="111"/>
      <c r="E111" s="111"/>
    </row>
    <row r="113" spans="1:7" x14ac:dyDescent="0.25">
      <c r="A113" s="5"/>
      <c r="B113" s="26"/>
      <c r="C113" s="104" t="s">
        <v>200</v>
      </c>
      <c r="E113" s="104" t="s">
        <v>212</v>
      </c>
      <c r="G113" s="52"/>
    </row>
    <row r="114" spans="1:7" x14ac:dyDescent="0.25">
      <c r="C114" s="105" t="s">
        <v>95</v>
      </c>
      <c r="E114" s="105" t="s">
        <v>40</v>
      </c>
      <c r="G114" s="61" t="s">
        <v>41</v>
      </c>
    </row>
    <row r="115" spans="1:7" x14ac:dyDescent="0.25">
      <c r="C115" s="106" t="s">
        <v>42</v>
      </c>
      <c r="E115" s="106" t="s">
        <v>42</v>
      </c>
      <c r="G115" s="62" t="s">
        <v>28</v>
      </c>
    </row>
    <row r="116" spans="1:7" x14ac:dyDescent="0.25">
      <c r="C116" s="23"/>
      <c r="E116" s="23"/>
    </row>
    <row r="117" spans="1:7" ht="20.25" x14ac:dyDescent="0.3">
      <c r="B117" s="118" t="s">
        <v>12</v>
      </c>
      <c r="C117" s="23" t="s">
        <v>0</v>
      </c>
      <c r="E117" s="23" t="s">
        <v>0</v>
      </c>
      <c r="G117" s="23" t="s">
        <v>0</v>
      </c>
    </row>
    <row r="118" spans="1:7" x14ac:dyDescent="0.25">
      <c r="C118" s="23"/>
      <c r="E118" s="23"/>
    </row>
    <row r="119" spans="1:7" x14ac:dyDescent="0.25">
      <c r="B119" s="4" t="s">
        <v>6</v>
      </c>
      <c r="C119" s="23">
        <v>68700</v>
      </c>
      <c r="E119" s="23">
        <f>68700+400+3300</f>
        <v>72400</v>
      </c>
      <c r="G119" s="4">
        <f>C119-E119</f>
        <v>-3700</v>
      </c>
    </row>
    <row r="120" spans="1:7" x14ac:dyDescent="0.25">
      <c r="B120" s="4" t="s">
        <v>25</v>
      </c>
      <c r="C120" s="23">
        <v>500</v>
      </c>
      <c r="E120" s="23">
        <v>500</v>
      </c>
      <c r="G120" s="4">
        <f>C120-E120</f>
        <v>0</v>
      </c>
    </row>
    <row r="121" spans="1:7" x14ac:dyDescent="0.25">
      <c r="B121" s="4" t="s">
        <v>56</v>
      </c>
      <c r="C121" s="23">
        <v>20900</v>
      </c>
      <c r="E121" s="23">
        <f>12200+8600+100-700</f>
        <v>20200</v>
      </c>
      <c r="G121" s="4">
        <f>C121-E121</f>
        <v>700</v>
      </c>
    </row>
    <row r="122" spans="1:7" x14ac:dyDescent="0.25">
      <c r="B122" s="4" t="s">
        <v>57</v>
      </c>
      <c r="C122" s="23">
        <v>10000</v>
      </c>
      <c r="E122" s="23">
        <f>15000-5000</f>
        <v>10000</v>
      </c>
      <c r="G122" s="4">
        <f>C122-E122</f>
        <v>0</v>
      </c>
    </row>
    <row r="123" spans="1:7" x14ac:dyDescent="0.25">
      <c r="B123" s="7"/>
      <c r="C123" s="112"/>
      <c r="E123" s="112"/>
      <c r="G123" s="10"/>
    </row>
    <row r="124" spans="1:7" x14ac:dyDescent="0.25">
      <c r="C124" s="113"/>
      <c r="E124" s="113"/>
    </row>
    <row r="125" spans="1:7" x14ac:dyDescent="0.25">
      <c r="A125" s="6"/>
      <c r="B125" s="6" t="s">
        <v>67</v>
      </c>
      <c r="C125" s="23">
        <f>SUM(C119:C124)</f>
        <v>100100</v>
      </c>
      <c r="D125" s="12"/>
      <c r="E125" s="23">
        <f>SUM(E119:E123)</f>
        <v>103100</v>
      </c>
      <c r="G125" s="6">
        <f>SUM(G119:G124)</f>
        <v>-3000</v>
      </c>
    </row>
    <row r="126" spans="1:7" x14ac:dyDescent="0.25">
      <c r="C126" s="23"/>
      <c r="E126" s="23"/>
    </row>
    <row r="127" spans="1:7" x14ac:dyDescent="0.25">
      <c r="B127" s="4" t="s">
        <v>26</v>
      </c>
      <c r="C127" s="23">
        <v>1400</v>
      </c>
      <c r="E127" s="23">
        <v>1400</v>
      </c>
      <c r="G127" s="4">
        <f>E127-C127</f>
        <v>0</v>
      </c>
    </row>
    <row r="128" spans="1:7" x14ac:dyDescent="0.25">
      <c r="B128" s="4" t="s">
        <v>59</v>
      </c>
      <c r="C128" s="23">
        <v>10000</v>
      </c>
      <c r="E128" s="23">
        <v>10000</v>
      </c>
      <c r="G128" s="4">
        <f>E128-C128</f>
        <v>0</v>
      </c>
    </row>
    <row r="129" spans="1:7" x14ac:dyDescent="0.25">
      <c r="C129" s="112"/>
      <c r="E129" s="112"/>
      <c r="G129" s="112"/>
    </row>
    <row r="130" spans="1:7" x14ac:dyDescent="0.25">
      <c r="C130" s="113"/>
      <c r="E130" s="113"/>
      <c r="G130" s="113"/>
    </row>
    <row r="131" spans="1:7" x14ac:dyDescent="0.25">
      <c r="A131" s="6"/>
      <c r="B131" s="11" t="s">
        <v>55</v>
      </c>
      <c r="C131" s="113">
        <f>+C125-C127-C128</f>
        <v>88700</v>
      </c>
      <c r="D131" s="113"/>
      <c r="E131" s="113">
        <f>+E125-E127-E128</f>
        <v>91700</v>
      </c>
      <c r="G131" s="23">
        <f>C131-E131</f>
        <v>-3000</v>
      </c>
    </row>
    <row r="132" spans="1:7" ht="18.75" thickBot="1" x14ac:dyDescent="0.3">
      <c r="C132" s="116"/>
      <c r="E132" s="116"/>
      <c r="G132" s="116"/>
    </row>
    <row r="133" spans="1:7" ht="18.75" thickTop="1" x14ac:dyDescent="0.25"/>
  </sheetData>
  <customSheetViews>
    <customSheetView guid="{CA1631C2-F325-11D6-AB9C-00B0D0BAF716}" scale="75" showPageBreaks="1" printArea="1" hiddenRows="1" showRuler="0" topLeftCell="A72">
      <selection activeCell="L41" sqref="L41"/>
      <rowBreaks count="4" manualBreakCount="4">
        <brk id="28" max="11" man="1"/>
        <brk id="71" max="11" man="1"/>
        <brk id="114" max="16383" man="1"/>
        <brk id="161" max="11" man="1"/>
      </rowBreaks>
      <pageMargins left="0.43307086614173229" right="3.937007874015748E-2" top="0.6692913385826772" bottom="0.82677165354330717" header="0.51181102362204722" footer="0.51181102362204722"/>
      <pageSetup paperSize="9" scale="65" firstPageNumber="2" orientation="portrait" useFirstPageNumber="1" r:id="rId1"/>
      <headerFooter alignWithMargins="0">
        <oddHeader>&amp;L&amp;14PORTFOLIO HOLDER&amp;R&amp;14BUDGET HOLDER RICHARD GROVE</oddHeader>
        <oddFooter>&amp;C&amp;18&amp;P</oddFooter>
      </headerFooter>
    </customSheetView>
    <customSheetView guid="{061CE440-224A-11D7-AABC-0050DA1BA6DB}" scale="75" hiddenRows="1" showRuler="0" topLeftCell="C141">
      <selection activeCell="L150" sqref="L150"/>
      <rowBreaks count="3" manualBreakCount="3">
        <brk id="28" max="11" man="1"/>
        <brk id="88" max="11" man="1"/>
        <brk id="137" max="16383" man="1"/>
      </rowBreaks>
      <pageMargins left="0.43307086614173229" right="3.937007874015748E-2" top="0.6692913385826772" bottom="0.82677165354330717" header="0.51181102362204722" footer="0.51181102362204722"/>
      <pageSetup paperSize="9" scale="63" firstPageNumber="2" orientation="portrait" useFirstPageNumber="1" r:id="rId2"/>
      <headerFooter alignWithMargins="0">
        <oddHeader>&amp;RAPPENDIX B</oddHeader>
        <oddFooter>&amp;C&amp;18&amp;P</oddFooter>
      </headerFooter>
    </customSheetView>
  </customSheetViews>
  <mergeCells count="5">
    <mergeCell ref="B86:G86"/>
    <mergeCell ref="B110:G110"/>
    <mergeCell ref="B2:G2"/>
    <mergeCell ref="B26:G26"/>
    <mergeCell ref="B58:G58"/>
  </mergeCells>
  <phoneticPr fontId="0" type="noConversion"/>
  <pageMargins left="0.59055118110236227" right="0.47244094488188981" top="0.5184375" bottom="0.98425196850393704" header="0.59055118110236227" footer="0.59055118110236227"/>
  <pageSetup paperSize="9" scale="63" firstPageNumber="2" pageOrder="overThenDown" orientation="portrait" useFirstPageNumber="1" r:id="rId3"/>
  <headerFooter alignWithMargins="0">
    <oddFooter>&amp;C&amp;18&amp;P</oddFooter>
  </headerFooter>
  <rowBreaks count="2" manualBreakCount="2">
    <brk id="23" max="7" man="1"/>
    <brk id="8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72"/>
  <sheetViews>
    <sheetView zoomScale="80" zoomScaleNormal="80" workbookViewId="0">
      <selection activeCell="O16" sqref="O16"/>
    </sheetView>
  </sheetViews>
  <sheetFormatPr defaultColWidth="9.28515625" defaultRowHeight="18" x14ac:dyDescent="0.25"/>
  <cols>
    <col min="1" max="1" width="10.28515625" style="99" customWidth="1"/>
    <col min="2" max="2" width="54.28515625" style="4" customWidth="1"/>
    <col min="3" max="3" width="17.28515625" style="24" customWidth="1"/>
    <col min="4" max="4" width="10.28515625" style="103" customWidth="1"/>
    <col min="5" max="5" width="17" style="24" customWidth="1"/>
    <col min="6" max="6" width="9.7109375" style="103" customWidth="1"/>
    <col min="7" max="7" width="14" style="103" bestFit="1" customWidth="1"/>
    <col min="8" max="16384" width="9.28515625" style="4"/>
  </cols>
  <sheetData>
    <row r="1" spans="1:7" x14ac:dyDescent="0.25">
      <c r="A1" s="124"/>
      <c r="C1" s="102"/>
      <c r="E1" s="102"/>
    </row>
    <row r="2" spans="1:7" ht="41.25" customHeight="1" x14ac:dyDescent="0.25">
      <c r="B2" s="214" t="s">
        <v>13</v>
      </c>
      <c r="C2" s="215"/>
      <c r="D2" s="215"/>
      <c r="E2" s="215"/>
      <c r="F2" s="215"/>
      <c r="G2" s="216"/>
    </row>
    <row r="5" spans="1:7" x14ac:dyDescent="0.25">
      <c r="A5" s="32"/>
      <c r="B5" s="26"/>
      <c r="C5" s="104" t="s">
        <v>200</v>
      </c>
      <c r="E5" s="104" t="s">
        <v>212</v>
      </c>
      <c r="F5" s="4"/>
      <c r="G5" s="52"/>
    </row>
    <row r="6" spans="1:7" x14ac:dyDescent="0.25">
      <c r="A6" s="32"/>
      <c r="C6" s="105" t="s">
        <v>95</v>
      </c>
      <c r="E6" s="105" t="s">
        <v>40</v>
      </c>
      <c r="F6" s="4"/>
      <c r="G6" s="61" t="s">
        <v>41</v>
      </c>
    </row>
    <row r="7" spans="1:7" x14ac:dyDescent="0.25">
      <c r="A7" s="29"/>
      <c r="C7" s="106" t="s">
        <v>42</v>
      </c>
      <c r="E7" s="106" t="s">
        <v>42</v>
      </c>
      <c r="F7" s="4"/>
      <c r="G7" s="62" t="s">
        <v>28</v>
      </c>
    </row>
    <row r="8" spans="1:7" x14ac:dyDescent="0.25">
      <c r="A8" s="28"/>
      <c r="C8" s="23"/>
      <c r="E8" s="23"/>
    </row>
    <row r="9" spans="1:7" ht="20.25" x14ac:dyDescent="0.3">
      <c r="A9" s="98"/>
      <c r="B9" s="118" t="s">
        <v>54</v>
      </c>
      <c r="C9" s="23" t="s">
        <v>0</v>
      </c>
      <c r="E9" s="23" t="s">
        <v>0</v>
      </c>
      <c r="G9" s="23" t="s">
        <v>0</v>
      </c>
    </row>
    <row r="10" spans="1:7" x14ac:dyDescent="0.25">
      <c r="A10" s="28"/>
      <c r="C10" s="23"/>
      <c r="E10" s="23"/>
    </row>
    <row r="11" spans="1:7" ht="20.25" x14ac:dyDescent="0.3">
      <c r="A11" s="28"/>
      <c r="B11" s="119" t="s">
        <v>13</v>
      </c>
      <c r="C11" s="23">
        <f>C48</f>
        <v>1317400</v>
      </c>
      <c r="E11" s="23">
        <f>E48</f>
        <v>842900</v>
      </c>
      <c r="G11" s="103">
        <f>C11-E11</f>
        <v>474500</v>
      </c>
    </row>
    <row r="12" spans="1:7" x14ac:dyDescent="0.25">
      <c r="A12" s="28"/>
      <c r="B12" s="7"/>
      <c r="C12" s="23"/>
      <c r="E12" s="23"/>
    </row>
    <row r="13" spans="1:7" x14ac:dyDescent="0.25">
      <c r="A13" s="28"/>
      <c r="B13" s="14"/>
      <c r="C13" s="109"/>
      <c r="E13" s="109"/>
      <c r="G13" s="109"/>
    </row>
    <row r="14" spans="1:7" ht="20.25" x14ac:dyDescent="0.3">
      <c r="A14" s="28"/>
      <c r="B14" s="117" t="s">
        <v>55</v>
      </c>
      <c r="C14" s="23">
        <f>SUM(C11:C12)</f>
        <v>1317400</v>
      </c>
      <c r="E14" s="23">
        <f>SUM(E11:E12)</f>
        <v>842900</v>
      </c>
      <c r="G14" s="23">
        <f>C14-E14</f>
        <v>474500</v>
      </c>
    </row>
    <row r="15" spans="1:7" ht="18.75" thickBot="1" x14ac:dyDescent="0.3">
      <c r="B15" s="6"/>
      <c r="C15" s="116"/>
      <c r="E15" s="116"/>
      <c r="G15" s="116"/>
    </row>
    <row r="16" spans="1:7" ht="21.75" customHeight="1" thickTop="1" x14ac:dyDescent="0.25">
      <c r="B16" s="6"/>
      <c r="C16" s="102"/>
      <c r="E16" s="102"/>
    </row>
    <row r="17" spans="1:7" x14ac:dyDescent="0.25">
      <c r="C17" s="102"/>
      <c r="E17" s="102"/>
    </row>
    <row r="18" spans="1:7" x14ac:dyDescent="0.25">
      <c r="B18" s="6"/>
      <c r="C18" s="102"/>
      <c r="E18" s="102"/>
    </row>
    <row r="19" spans="1:7" x14ac:dyDescent="0.25">
      <c r="B19" s="6"/>
      <c r="C19" s="102"/>
      <c r="E19" s="102"/>
    </row>
    <row r="20" spans="1:7" x14ac:dyDescent="0.25">
      <c r="A20" s="28"/>
      <c r="B20" s="6"/>
      <c r="C20" s="23"/>
      <c r="E20" s="23"/>
    </row>
    <row r="21" spans="1:7" x14ac:dyDescent="0.25">
      <c r="A21" s="28"/>
      <c r="C21" s="113"/>
      <c r="E21" s="113"/>
    </row>
    <row r="22" spans="1:7" ht="41.25" customHeight="1" x14ac:dyDescent="0.25">
      <c r="A22" s="124"/>
      <c r="B22" s="214" t="s">
        <v>13</v>
      </c>
      <c r="C22" s="215"/>
      <c r="D22" s="215"/>
      <c r="E22" s="215"/>
      <c r="F22" s="215"/>
      <c r="G22" s="216"/>
    </row>
    <row r="25" spans="1:7" x14ac:dyDescent="0.25">
      <c r="A25" s="32"/>
      <c r="B25" s="26"/>
      <c r="C25" s="104" t="s">
        <v>200</v>
      </c>
      <c r="E25" s="104" t="s">
        <v>212</v>
      </c>
      <c r="F25" s="4"/>
      <c r="G25" s="52"/>
    </row>
    <row r="26" spans="1:7" x14ac:dyDescent="0.25">
      <c r="A26" s="29"/>
      <c r="C26" s="105" t="s">
        <v>95</v>
      </c>
      <c r="E26" s="105" t="s">
        <v>40</v>
      </c>
      <c r="F26" s="4"/>
      <c r="G26" s="61" t="s">
        <v>41</v>
      </c>
    </row>
    <row r="27" spans="1:7" x14ac:dyDescent="0.25">
      <c r="A27" s="29"/>
      <c r="C27" s="106" t="s">
        <v>42</v>
      </c>
      <c r="E27" s="106" t="s">
        <v>42</v>
      </c>
      <c r="F27" s="4"/>
      <c r="G27" s="62" t="s">
        <v>28</v>
      </c>
    </row>
    <row r="28" spans="1:7" x14ac:dyDescent="0.25">
      <c r="A28" s="28"/>
      <c r="C28" s="23"/>
      <c r="E28" s="23"/>
    </row>
    <row r="29" spans="1:7" ht="20.25" x14ac:dyDescent="0.3">
      <c r="A29" s="98"/>
      <c r="B29" s="117" t="s">
        <v>13</v>
      </c>
      <c r="C29" s="23" t="s">
        <v>0</v>
      </c>
      <c r="E29" s="23" t="s">
        <v>0</v>
      </c>
      <c r="G29" s="23" t="s">
        <v>0</v>
      </c>
    </row>
    <row r="30" spans="1:7" x14ac:dyDescent="0.25">
      <c r="A30" s="28"/>
      <c r="C30" s="23"/>
      <c r="E30" s="23"/>
    </row>
    <row r="31" spans="1:7" x14ac:dyDescent="0.25">
      <c r="A31" s="28"/>
      <c r="B31" s="4" t="s">
        <v>6</v>
      </c>
      <c r="C31" s="23">
        <v>1178100</v>
      </c>
      <c r="E31" s="23">
        <f>1178100-10600-5500+7900+204000-42800+60000</f>
        <v>1391100</v>
      </c>
      <c r="G31" s="103">
        <f t="shared" ref="G31:G35" si="0">C31-E31</f>
        <v>-213000</v>
      </c>
    </row>
    <row r="32" spans="1:7" x14ac:dyDescent="0.25">
      <c r="A32" s="28"/>
      <c r="B32" s="4" t="s">
        <v>25</v>
      </c>
      <c r="C32" s="23">
        <v>2000</v>
      </c>
      <c r="E32" s="23">
        <v>2000</v>
      </c>
      <c r="G32" s="103">
        <f t="shared" si="0"/>
        <v>0</v>
      </c>
    </row>
    <row r="33" spans="1:7" x14ac:dyDescent="0.25">
      <c r="A33" s="28"/>
      <c r="B33" s="4" t="s">
        <v>56</v>
      </c>
      <c r="C33" s="23">
        <v>119600</v>
      </c>
      <c r="E33" s="23">
        <f>119600+1000-200-200-1300+2200+1600-30000-300-15000-11300</f>
        <v>66100</v>
      </c>
      <c r="G33" s="103">
        <f t="shared" si="0"/>
        <v>53500</v>
      </c>
    </row>
    <row r="34" spans="1:7" x14ac:dyDescent="0.25">
      <c r="A34" s="28"/>
      <c r="B34" s="4" t="s">
        <v>57</v>
      </c>
      <c r="C34" s="113">
        <v>35200</v>
      </c>
      <c r="E34" s="113">
        <f>35200-1500+1300+100400</f>
        <v>135400</v>
      </c>
      <c r="G34" s="103">
        <f t="shared" si="0"/>
        <v>-100200</v>
      </c>
    </row>
    <row r="35" spans="1:7" x14ac:dyDescent="0.25">
      <c r="A35" s="28"/>
      <c r="B35" s="4" t="s">
        <v>60</v>
      </c>
      <c r="C35" s="12">
        <f>1000000</f>
        <v>1000000</v>
      </c>
      <c r="E35" s="12">
        <v>1000000</v>
      </c>
      <c r="G35" s="103">
        <f t="shared" si="0"/>
        <v>0</v>
      </c>
    </row>
    <row r="36" spans="1:7" x14ac:dyDescent="0.25">
      <c r="A36" s="28"/>
      <c r="B36" s="7"/>
      <c r="C36" s="112"/>
      <c r="E36" s="112"/>
      <c r="G36" s="126"/>
    </row>
    <row r="37" spans="1:7" x14ac:dyDescent="0.25">
      <c r="A37" s="28"/>
      <c r="C37" s="23"/>
      <c r="E37" s="23"/>
    </row>
    <row r="38" spans="1:7" x14ac:dyDescent="0.25">
      <c r="A38" s="28"/>
      <c r="B38" s="6" t="s">
        <v>67</v>
      </c>
      <c r="C38" s="23">
        <f>SUM(C30:C36)</f>
        <v>2334900</v>
      </c>
      <c r="E38" s="23">
        <f>SUM(E30:E36)</f>
        <v>2594600</v>
      </c>
      <c r="G38" s="12">
        <f>C38-E38</f>
        <v>-259700</v>
      </c>
    </row>
    <row r="39" spans="1:7" x14ac:dyDescent="0.25">
      <c r="A39" s="28"/>
      <c r="C39" s="23"/>
      <c r="E39" s="23"/>
    </row>
    <row r="40" spans="1:7" x14ac:dyDescent="0.25">
      <c r="A40" s="28"/>
      <c r="B40" s="4" t="s">
        <v>61</v>
      </c>
      <c r="C40" s="113">
        <v>17000</v>
      </c>
      <c r="E40" s="113">
        <f>17000+800</f>
        <v>17800</v>
      </c>
      <c r="G40" s="103">
        <f>E40-C40</f>
        <v>800</v>
      </c>
    </row>
    <row r="41" spans="1:7" x14ac:dyDescent="0.25">
      <c r="A41" s="28"/>
      <c r="B41" s="9" t="s">
        <v>62</v>
      </c>
      <c r="C41" s="12">
        <v>540000</v>
      </c>
      <c r="E41" s="12">
        <f>540000-30000</f>
        <v>510000</v>
      </c>
      <c r="G41" s="103">
        <f>E41-C41</f>
        <v>-30000</v>
      </c>
    </row>
    <row r="42" spans="1:7" x14ac:dyDescent="0.25">
      <c r="A42" s="28"/>
      <c r="B42" s="4" t="s">
        <v>223</v>
      </c>
      <c r="C42" s="113">
        <f>460500-87000</f>
        <v>373500</v>
      </c>
      <c r="E42" s="113">
        <f>460500+25000+434000+304400-87000</f>
        <v>1136900</v>
      </c>
      <c r="G42" s="103">
        <f>E42-C42</f>
        <v>763400</v>
      </c>
    </row>
    <row r="43" spans="1:7" x14ac:dyDescent="0.25">
      <c r="B43" s="4" t="s">
        <v>224</v>
      </c>
      <c r="C43" s="112">
        <v>87000</v>
      </c>
      <c r="D43" s="126"/>
      <c r="E43" s="112">
        <v>87000</v>
      </c>
      <c r="G43" s="126"/>
    </row>
    <row r="44" spans="1:7" x14ac:dyDescent="0.25">
      <c r="C44" s="102"/>
      <c r="D44" s="114"/>
      <c r="E44" s="102"/>
      <c r="G44" s="114"/>
    </row>
    <row r="45" spans="1:7" ht="19.5" customHeight="1" x14ac:dyDescent="0.25">
      <c r="A45" s="28"/>
      <c r="B45" s="13" t="s">
        <v>58</v>
      </c>
      <c r="C45" s="113">
        <f>SUM(C40:C43)</f>
        <v>1017500</v>
      </c>
      <c r="E45" s="113">
        <f>SUM(E40:E43)</f>
        <v>1751700</v>
      </c>
      <c r="G45" s="12">
        <f>E45-C45</f>
        <v>734200</v>
      </c>
    </row>
    <row r="46" spans="1:7" ht="19.5" customHeight="1" x14ac:dyDescent="0.25">
      <c r="A46" s="28"/>
      <c r="B46" s="1"/>
      <c r="C46" s="113"/>
      <c r="E46" s="113"/>
    </row>
    <row r="47" spans="1:7" x14ac:dyDescent="0.25">
      <c r="A47" s="28"/>
      <c r="B47" s="1"/>
      <c r="C47" s="109"/>
      <c r="D47" s="114"/>
      <c r="E47" s="109"/>
      <c r="F47" s="114"/>
      <c r="G47" s="109"/>
    </row>
    <row r="48" spans="1:7" x14ac:dyDescent="0.25">
      <c r="A48" s="28"/>
      <c r="B48" s="11" t="s">
        <v>55</v>
      </c>
      <c r="C48" s="23">
        <f>C38-C45</f>
        <v>1317400</v>
      </c>
      <c r="E48" s="23">
        <f>E38-E45</f>
        <v>842900</v>
      </c>
      <c r="G48" s="23">
        <f>C48-E48</f>
        <v>474500</v>
      </c>
    </row>
    <row r="49" spans="1:7" ht="18.75" thickBot="1" x14ac:dyDescent="0.3">
      <c r="A49" s="28"/>
      <c r="B49" s="6"/>
      <c r="C49" s="110"/>
      <c r="E49" s="110"/>
      <c r="G49" s="110"/>
    </row>
    <row r="50" spans="1:7" ht="18.75" thickTop="1" x14ac:dyDescent="0.25">
      <c r="A50" s="28"/>
      <c r="C50" s="113"/>
      <c r="E50" s="113"/>
    </row>
    <row r="51" spans="1:7" x14ac:dyDescent="0.25">
      <c r="A51" s="28"/>
      <c r="B51" s="11"/>
      <c r="C51" s="113"/>
      <c r="E51" s="113"/>
    </row>
    <row r="52" spans="1:7" x14ac:dyDescent="0.25">
      <c r="A52" s="28"/>
      <c r="B52" s="6"/>
      <c r="C52" s="23"/>
      <c r="E52" s="23"/>
    </row>
    <row r="54" spans="1:7" x14ac:dyDescent="0.25">
      <c r="A54" s="28"/>
      <c r="C54" s="113"/>
      <c r="E54" s="113"/>
    </row>
    <row r="56" spans="1:7" x14ac:dyDescent="0.25">
      <c r="B56" s="6"/>
      <c r="C56" s="102"/>
      <c r="E56" s="102"/>
    </row>
    <row r="57" spans="1:7" x14ac:dyDescent="0.25">
      <c r="B57" s="6"/>
      <c r="C57" s="102"/>
      <c r="E57" s="102"/>
    </row>
    <row r="58" spans="1:7" x14ac:dyDescent="0.25">
      <c r="A58" s="1"/>
      <c r="B58" s="6"/>
      <c r="C58" s="102"/>
      <c r="E58" s="102"/>
    </row>
    <row r="59" spans="1:7" x14ac:dyDescent="0.25">
      <c r="A59" s="1"/>
      <c r="B59" s="6"/>
      <c r="C59" s="23"/>
      <c r="E59" s="23"/>
    </row>
    <row r="60" spans="1:7" x14ac:dyDescent="0.25">
      <c r="A60" s="1"/>
      <c r="B60" s="11"/>
      <c r="C60" s="23"/>
      <c r="E60" s="23"/>
    </row>
    <row r="61" spans="1:7" s="6" customFormat="1" x14ac:dyDescent="0.25">
      <c r="A61" s="8"/>
      <c r="B61" s="11"/>
      <c r="C61" s="23"/>
      <c r="D61" s="103"/>
      <c r="E61" s="23"/>
      <c r="F61" s="12"/>
      <c r="G61" s="12"/>
    </row>
    <row r="62" spans="1:7" x14ac:dyDescent="0.25">
      <c r="A62" s="1"/>
      <c r="B62" s="11"/>
      <c r="C62" s="23"/>
      <c r="E62" s="23"/>
    </row>
    <row r="63" spans="1:7" x14ac:dyDescent="0.25">
      <c r="A63" s="1"/>
      <c r="B63" s="6"/>
      <c r="C63" s="23"/>
      <c r="E63" s="23"/>
    </row>
    <row r="64" spans="1:7" x14ac:dyDescent="0.25">
      <c r="A64" s="1"/>
      <c r="B64" s="6"/>
      <c r="C64" s="23"/>
      <c r="E64" s="23"/>
    </row>
    <row r="65" spans="1:7" x14ac:dyDescent="0.25">
      <c r="A65" s="1"/>
    </row>
    <row r="66" spans="1:7" x14ac:dyDescent="0.25">
      <c r="A66" s="1"/>
    </row>
    <row r="67" spans="1:7" s="1" customFormat="1" x14ac:dyDescent="0.25">
      <c r="B67" s="4"/>
      <c r="C67" s="24"/>
      <c r="D67" s="103"/>
      <c r="E67" s="24"/>
      <c r="F67" s="114"/>
      <c r="G67" s="114"/>
    </row>
    <row r="68" spans="1:7" s="1" customFormat="1" x14ac:dyDescent="0.25">
      <c r="B68" s="4"/>
      <c r="C68" s="24"/>
      <c r="D68" s="103"/>
      <c r="E68" s="24"/>
      <c r="F68" s="114"/>
      <c r="G68" s="114"/>
    </row>
    <row r="69" spans="1:7" s="1" customFormat="1" x14ac:dyDescent="0.25">
      <c r="B69" s="4"/>
      <c r="C69" s="24"/>
      <c r="D69" s="103"/>
      <c r="E69" s="24"/>
      <c r="F69" s="114"/>
      <c r="G69" s="114"/>
    </row>
    <row r="70" spans="1:7" s="1" customFormat="1" x14ac:dyDescent="0.25">
      <c r="B70" s="4"/>
      <c r="C70" s="24"/>
      <c r="D70" s="103"/>
      <c r="E70" s="24"/>
      <c r="F70" s="114"/>
      <c r="G70" s="114"/>
    </row>
    <row r="71" spans="1:7" s="1" customFormat="1" x14ac:dyDescent="0.25">
      <c r="B71" s="4"/>
      <c r="C71" s="24"/>
      <c r="D71" s="103"/>
      <c r="E71" s="24"/>
      <c r="F71" s="114"/>
      <c r="G71" s="114"/>
    </row>
    <row r="72" spans="1:7" s="1" customFormat="1" x14ac:dyDescent="0.25">
      <c r="B72" s="4"/>
      <c r="C72" s="24"/>
      <c r="D72" s="103"/>
      <c r="E72" s="24"/>
      <c r="F72" s="114"/>
      <c r="G72" s="114"/>
    </row>
    <row r="73" spans="1:7" s="1" customFormat="1" x14ac:dyDescent="0.25">
      <c r="B73" s="4"/>
      <c r="C73" s="24"/>
      <c r="D73" s="103"/>
      <c r="E73" s="24"/>
      <c r="F73" s="114"/>
      <c r="G73" s="114"/>
    </row>
    <row r="74" spans="1:7" s="1" customFormat="1" x14ac:dyDescent="0.25">
      <c r="B74" s="4"/>
      <c r="C74" s="24"/>
      <c r="D74" s="103"/>
      <c r="E74" s="24"/>
      <c r="F74" s="114"/>
      <c r="G74" s="114"/>
    </row>
    <row r="75" spans="1:7" s="1" customFormat="1" x14ac:dyDescent="0.25">
      <c r="B75" s="4"/>
      <c r="C75" s="24"/>
      <c r="D75" s="103"/>
      <c r="E75" s="24"/>
      <c r="F75" s="114"/>
      <c r="G75" s="114"/>
    </row>
    <row r="76" spans="1:7" x14ac:dyDescent="0.25">
      <c r="A76" s="1"/>
    </row>
    <row r="77" spans="1:7" s="1" customFormat="1" x14ac:dyDescent="0.25">
      <c r="B77" s="4"/>
      <c r="C77" s="24"/>
      <c r="D77" s="103"/>
      <c r="E77" s="24"/>
      <c r="F77" s="114"/>
      <c r="G77" s="114"/>
    </row>
    <row r="78" spans="1:7" x14ac:dyDescent="0.25">
      <c r="A78" s="1"/>
    </row>
    <row r="79" spans="1:7" x14ac:dyDescent="0.25">
      <c r="A79" s="1"/>
    </row>
    <row r="80" spans="1:7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</sheetData>
  <mergeCells count="2">
    <mergeCell ref="B2:G2"/>
    <mergeCell ref="B22:G22"/>
  </mergeCells>
  <phoneticPr fontId="0" type="noConversion"/>
  <pageMargins left="0.59055118110236227" right="0.23622047244094491" top="0.47145833333333331" bottom="1.3779527559055118" header="0.78740157480314965" footer="1.1811023622047245"/>
  <pageSetup paperSize="9" scale="62" firstPageNumber="7" orientation="portrait" useFirstPageNumber="1" r:id="rId1"/>
  <headerFooter alignWithMargins="0">
    <oddFooter>&amp;C&amp;18&amp;P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2:H205"/>
  <sheetViews>
    <sheetView zoomScale="80" zoomScaleNormal="80" zoomScaleSheetLayoutView="50" workbookViewId="0">
      <selection activeCell="O16" sqref="O16"/>
    </sheetView>
  </sheetViews>
  <sheetFormatPr defaultColWidth="9.28515625" defaultRowHeight="18" x14ac:dyDescent="0.25"/>
  <cols>
    <col min="1" max="1" width="9.7109375" style="41" customWidth="1"/>
    <col min="2" max="2" width="59" style="41" customWidth="1"/>
    <col min="3" max="3" width="17.28515625" style="138" customWidth="1"/>
    <col min="4" max="4" width="9.42578125" style="108" customWidth="1"/>
    <col min="5" max="5" width="17.28515625" style="138" customWidth="1"/>
    <col min="6" max="6" width="10" style="108" customWidth="1"/>
    <col min="7" max="7" width="16.7109375" style="138" customWidth="1"/>
    <col min="8" max="8" width="9.7109375" style="41" customWidth="1"/>
    <col min="9" max="16384" width="9.28515625" style="41"/>
  </cols>
  <sheetData>
    <row r="2" spans="1:7" ht="40.5" customHeight="1" x14ac:dyDescent="0.25">
      <c r="B2" s="217" t="s">
        <v>31</v>
      </c>
      <c r="C2" s="218"/>
      <c r="D2" s="218"/>
      <c r="E2" s="218"/>
      <c r="F2" s="218"/>
      <c r="G2" s="219"/>
    </row>
    <row r="3" spans="1:7" x14ac:dyDescent="0.25">
      <c r="B3" s="130"/>
      <c r="C3" s="136"/>
      <c r="E3" s="136"/>
      <c r="G3" s="136"/>
    </row>
    <row r="4" spans="1:7" x14ac:dyDescent="0.25">
      <c r="A4" s="131"/>
      <c r="B4" s="5"/>
      <c r="C4" s="104" t="s">
        <v>200</v>
      </c>
      <c r="D4" s="103"/>
      <c r="E4" s="104" t="s">
        <v>212</v>
      </c>
      <c r="F4" s="103"/>
      <c r="G4" s="52"/>
    </row>
    <row r="5" spans="1:7" x14ac:dyDescent="0.25">
      <c r="A5" s="22"/>
      <c r="B5" s="2"/>
      <c r="C5" s="105" t="s">
        <v>95</v>
      </c>
      <c r="D5" s="103"/>
      <c r="E5" s="105" t="s">
        <v>40</v>
      </c>
      <c r="F5" s="103"/>
      <c r="G5" s="61" t="s">
        <v>41</v>
      </c>
    </row>
    <row r="6" spans="1:7" x14ac:dyDescent="0.25">
      <c r="A6" s="1"/>
      <c r="B6" s="3"/>
      <c r="C6" s="106" t="s">
        <v>42</v>
      </c>
      <c r="D6" s="103"/>
      <c r="E6" s="106" t="s">
        <v>42</v>
      </c>
      <c r="F6" s="103"/>
      <c r="G6" s="62" t="s">
        <v>28</v>
      </c>
    </row>
    <row r="7" spans="1:7" x14ac:dyDescent="0.25">
      <c r="A7" s="4"/>
      <c r="B7" s="4"/>
      <c r="C7" s="23"/>
      <c r="E7" s="23"/>
      <c r="G7" s="23"/>
    </row>
    <row r="8" spans="1:7" ht="20.25" x14ac:dyDescent="0.3">
      <c r="A8" s="5"/>
      <c r="B8" s="118" t="s">
        <v>54</v>
      </c>
      <c r="C8" s="23" t="s">
        <v>0</v>
      </c>
      <c r="E8" s="23" t="s">
        <v>0</v>
      </c>
      <c r="G8" s="23" t="s">
        <v>0</v>
      </c>
    </row>
    <row r="9" spans="1:7" ht="20.25" x14ac:dyDescent="0.3">
      <c r="A9" s="5"/>
      <c r="B9" s="148"/>
      <c r="C9" s="23"/>
      <c r="E9" s="23"/>
      <c r="G9" s="23"/>
    </row>
    <row r="10" spans="1:7" ht="20.25" x14ac:dyDescent="0.3">
      <c r="A10" s="5"/>
      <c r="B10" s="120" t="s">
        <v>63</v>
      </c>
      <c r="C10" s="23">
        <f>C54</f>
        <v>833200</v>
      </c>
      <c r="E10" s="23">
        <f>E54</f>
        <v>901000</v>
      </c>
      <c r="G10" s="23">
        <f>C10-E10</f>
        <v>-67800</v>
      </c>
    </row>
    <row r="11" spans="1:7" ht="20.25" x14ac:dyDescent="0.3">
      <c r="A11" s="4"/>
      <c r="B11" s="119"/>
      <c r="C11" s="137"/>
      <c r="E11" s="137"/>
      <c r="G11" s="23"/>
    </row>
    <row r="12" spans="1:7" ht="20.25" x14ac:dyDescent="0.3">
      <c r="B12" s="147" t="s">
        <v>64</v>
      </c>
      <c r="C12" s="137">
        <f>C71</f>
        <v>83100</v>
      </c>
      <c r="E12" s="137">
        <f>E71</f>
        <v>90500</v>
      </c>
      <c r="G12" s="23">
        <f t="shared" ref="G12:G24" si="0">C12-E12</f>
        <v>-7400</v>
      </c>
    </row>
    <row r="13" spans="1:7" ht="20.25" x14ac:dyDescent="0.3">
      <c r="A13" s="4"/>
      <c r="B13" s="119"/>
      <c r="C13" s="137"/>
      <c r="E13" s="137"/>
      <c r="G13" s="23"/>
    </row>
    <row r="14" spans="1:7" ht="20.25" x14ac:dyDescent="0.3">
      <c r="A14" s="4"/>
      <c r="B14" s="121" t="s">
        <v>11</v>
      </c>
      <c r="C14" s="137">
        <f>C89</f>
        <v>11500</v>
      </c>
      <c r="E14" s="137">
        <f>E89</f>
        <v>11500</v>
      </c>
      <c r="G14" s="23">
        <f t="shared" si="0"/>
        <v>0</v>
      </c>
    </row>
    <row r="15" spans="1:7" ht="20.25" x14ac:dyDescent="0.3">
      <c r="A15" s="4"/>
      <c r="B15" s="119"/>
      <c r="C15" s="137"/>
      <c r="E15" s="137"/>
      <c r="G15" s="23"/>
    </row>
    <row r="16" spans="1:7" ht="20.25" x14ac:dyDescent="0.3">
      <c r="A16" s="4"/>
      <c r="B16" s="120" t="s">
        <v>65</v>
      </c>
      <c r="C16" s="137">
        <f>C111</f>
        <v>16400</v>
      </c>
      <c r="E16" s="137">
        <f>E111</f>
        <v>16200</v>
      </c>
      <c r="G16" s="23">
        <f t="shared" si="0"/>
        <v>200</v>
      </c>
    </row>
    <row r="17" spans="1:7" ht="20.25" x14ac:dyDescent="0.3">
      <c r="A17" s="4"/>
      <c r="B17" s="119"/>
      <c r="C17" s="137"/>
      <c r="E17" s="137"/>
      <c r="G17" s="23"/>
    </row>
    <row r="18" spans="1:7" ht="20.25" x14ac:dyDescent="0.3">
      <c r="A18" s="4"/>
      <c r="B18" s="120" t="s">
        <v>8</v>
      </c>
      <c r="C18" s="137">
        <f>C132</f>
        <v>23400</v>
      </c>
      <c r="E18" s="137">
        <f>E132</f>
        <v>22900</v>
      </c>
      <c r="G18" s="23">
        <f t="shared" si="0"/>
        <v>500</v>
      </c>
    </row>
    <row r="19" spans="1:7" ht="20.25" x14ac:dyDescent="0.3">
      <c r="A19" s="4"/>
      <c r="B19" s="120"/>
      <c r="C19" s="137"/>
      <c r="E19" s="137"/>
      <c r="G19" s="23"/>
    </row>
    <row r="20" spans="1:7" ht="20.25" x14ac:dyDescent="0.3">
      <c r="A20" s="4"/>
      <c r="B20" s="120" t="s">
        <v>3</v>
      </c>
      <c r="C20" s="137">
        <f>C155</f>
        <v>24000</v>
      </c>
      <c r="E20" s="137">
        <f>E155</f>
        <v>29400</v>
      </c>
      <c r="G20" s="23">
        <f t="shared" si="0"/>
        <v>-5400</v>
      </c>
    </row>
    <row r="21" spans="1:7" ht="20.25" x14ac:dyDescent="0.3">
      <c r="A21" s="4"/>
      <c r="B21" s="120"/>
      <c r="C21" s="137"/>
      <c r="E21" s="137"/>
      <c r="G21" s="23"/>
    </row>
    <row r="22" spans="1:7" ht="20.25" x14ac:dyDescent="0.3">
      <c r="A22" s="4"/>
      <c r="B22" s="119" t="s">
        <v>9</v>
      </c>
      <c r="C22" s="137">
        <f>C181</f>
        <v>417000</v>
      </c>
      <c r="E22" s="137">
        <f>E181</f>
        <v>417000</v>
      </c>
      <c r="G22" s="23">
        <f t="shared" si="0"/>
        <v>0</v>
      </c>
    </row>
    <row r="23" spans="1:7" ht="20.25" x14ac:dyDescent="0.3">
      <c r="A23" s="4"/>
      <c r="B23" s="119"/>
      <c r="C23" s="137"/>
      <c r="E23" s="137"/>
      <c r="G23" s="23"/>
    </row>
    <row r="24" spans="1:7" ht="20.25" x14ac:dyDescent="0.3">
      <c r="A24" s="4"/>
      <c r="B24" s="119" t="s">
        <v>183</v>
      </c>
      <c r="C24" s="137">
        <f>C203</f>
        <v>0</v>
      </c>
      <c r="E24" s="137">
        <f>E203</f>
        <v>0</v>
      </c>
      <c r="G24" s="23">
        <f t="shared" si="0"/>
        <v>0</v>
      </c>
    </row>
    <row r="25" spans="1:7" ht="20.25" x14ac:dyDescent="0.3">
      <c r="A25" s="4"/>
      <c r="B25" s="119"/>
      <c r="C25" s="137"/>
      <c r="E25" s="137"/>
      <c r="G25" s="137"/>
    </row>
    <row r="26" spans="1:7" ht="20.25" x14ac:dyDescent="0.3">
      <c r="B26" s="149"/>
    </row>
    <row r="27" spans="1:7" ht="20.25" x14ac:dyDescent="0.3">
      <c r="A27" s="4"/>
      <c r="B27" s="149"/>
      <c r="C27" s="139"/>
      <c r="E27" s="139"/>
      <c r="G27" s="139"/>
    </row>
    <row r="28" spans="1:7" s="132" customFormat="1" ht="20.25" x14ac:dyDescent="0.3">
      <c r="A28" s="6"/>
      <c r="B28" s="117" t="s">
        <v>55</v>
      </c>
      <c r="C28" s="136">
        <f>SUM(C10:C27)</f>
        <v>1408600</v>
      </c>
      <c r="D28" s="136"/>
      <c r="E28" s="136">
        <f>SUM(E10:E27)</f>
        <v>1488500</v>
      </c>
      <c r="F28" s="59"/>
      <c r="G28" s="113">
        <f>C28-E28</f>
        <v>-79900</v>
      </c>
    </row>
    <row r="29" spans="1:7" ht="18.75" thickBot="1" x14ac:dyDescent="0.3">
      <c r="B29" s="6"/>
      <c r="C29" s="140"/>
      <c r="E29" s="140"/>
      <c r="G29" s="140"/>
    </row>
    <row r="30" spans="1:7" ht="18.75" thickTop="1" x14ac:dyDescent="0.25">
      <c r="B30" s="6"/>
      <c r="C30" s="136"/>
      <c r="E30" s="136"/>
      <c r="G30" s="136"/>
    </row>
    <row r="31" spans="1:7" x14ac:dyDescent="0.25">
      <c r="B31" s="4"/>
      <c r="C31" s="200"/>
      <c r="E31" s="200"/>
      <c r="G31" s="24"/>
    </row>
    <row r="32" spans="1:7" x14ac:dyDescent="0.25">
      <c r="A32" s="81"/>
      <c r="B32" s="130"/>
      <c r="C32" s="136"/>
      <c r="E32" s="136"/>
      <c r="G32" s="136"/>
    </row>
    <row r="33" spans="1:7" ht="40.5" customHeight="1" x14ac:dyDescent="0.4">
      <c r="A33" s="129"/>
      <c r="B33" s="217" t="s">
        <v>31</v>
      </c>
      <c r="C33" s="218"/>
      <c r="D33" s="218"/>
      <c r="E33" s="218"/>
      <c r="F33" s="218"/>
      <c r="G33" s="219"/>
    </row>
    <row r="34" spans="1:7" s="4" customFormat="1" x14ac:dyDescent="0.25">
      <c r="C34" s="102"/>
      <c r="D34" s="103"/>
      <c r="E34" s="102"/>
      <c r="F34" s="103"/>
      <c r="G34" s="102"/>
    </row>
    <row r="35" spans="1:7" s="4" customFormat="1" x14ac:dyDescent="0.25">
      <c r="A35" s="133"/>
      <c r="C35" s="24"/>
      <c r="D35" s="103"/>
      <c r="E35" s="24"/>
      <c r="F35" s="103"/>
      <c r="G35" s="24"/>
    </row>
    <row r="36" spans="1:7" s="4" customFormat="1" x14ac:dyDescent="0.25">
      <c r="A36" s="131"/>
      <c r="B36" s="5"/>
      <c r="C36" s="104" t="s">
        <v>200</v>
      </c>
      <c r="D36" s="103"/>
      <c r="E36" s="104" t="s">
        <v>212</v>
      </c>
      <c r="F36" s="103"/>
      <c r="G36" s="52"/>
    </row>
    <row r="37" spans="1:7" s="4" customFormat="1" x14ac:dyDescent="0.25">
      <c r="A37" s="125"/>
      <c r="C37" s="105" t="s">
        <v>95</v>
      </c>
      <c r="D37" s="103"/>
      <c r="E37" s="105" t="s">
        <v>40</v>
      </c>
      <c r="F37" s="103"/>
      <c r="G37" s="61" t="s">
        <v>41</v>
      </c>
    </row>
    <row r="38" spans="1:7" s="4" customFormat="1" x14ac:dyDescent="0.25">
      <c r="A38" s="125"/>
      <c r="C38" s="106" t="s">
        <v>42</v>
      </c>
      <c r="D38" s="103"/>
      <c r="E38" s="106" t="s">
        <v>42</v>
      </c>
      <c r="F38" s="103"/>
      <c r="G38" s="62" t="s">
        <v>28</v>
      </c>
    </row>
    <row r="39" spans="1:7" s="4" customFormat="1" x14ac:dyDescent="0.25">
      <c r="A39" s="125"/>
      <c r="C39" s="141"/>
      <c r="D39" s="103"/>
      <c r="E39" s="141"/>
      <c r="F39" s="103"/>
      <c r="G39" s="23"/>
    </row>
    <row r="40" spans="1:7" s="4" customFormat="1" ht="20.25" x14ac:dyDescent="0.3">
      <c r="A40" s="133"/>
      <c r="B40" s="150" t="s">
        <v>66</v>
      </c>
      <c r="C40" s="23" t="s">
        <v>0</v>
      </c>
      <c r="D40" s="103"/>
      <c r="E40" s="23" t="s">
        <v>0</v>
      </c>
      <c r="F40" s="103"/>
      <c r="G40" s="23" t="s">
        <v>0</v>
      </c>
    </row>
    <row r="41" spans="1:7" s="4" customFormat="1" x14ac:dyDescent="0.25">
      <c r="A41" s="133"/>
      <c r="C41" s="23"/>
      <c r="D41" s="103"/>
      <c r="E41" s="23"/>
      <c r="F41" s="103"/>
      <c r="G41" s="23"/>
    </row>
    <row r="42" spans="1:7" s="4" customFormat="1" x14ac:dyDescent="0.25">
      <c r="A42" s="133"/>
      <c r="B42" s="4" t="s">
        <v>6</v>
      </c>
      <c r="C42" s="12">
        <v>852500</v>
      </c>
      <c r="D42" s="103"/>
      <c r="E42" s="12">
        <f>940200+49800-1300-49600+43500</f>
        <v>982600</v>
      </c>
      <c r="F42" s="103"/>
      <c r="G42" s="103">
        <f t="shared" ref="G42:G47" si="1">C42-E42</f>
        <v>-130100</v>
      </c>
    </row>
    <row r="43" spans="1:7" s="4" customFormat="1" x14ac:dyDescent="0.25">
      <c r="A43" s="133"/>
      <c r="B43" s="4" t="s">
        <v>24</v>
      </c>
      <c r="C43" s="12">
        <v>300</v>
      </c>
      <c r="D43" s="103"/>
      <c r="E43" s="12">
        <v>300</v>
      </c>
      <c r="F43" s="103"/>
      <c r="G43" s="103">
        <f t="shared" si="1"/>
        <v>0</v>
      </c>
    </row>
    <row r="44" spans="1:7" s="4" customFormat="1" x14ac:dyDescent="0.25">
      <c r="A44" s="133"/>
      <c r="B44" s="4" t="s">
        <v>82</v>
      </c>
      <c r="C44" s="23">
        <v>1000</v>
      </c>
      <c r="D44" s="103"/>
      <c r="E44" s="23">
        <f>1500+500</f>
        <v>2000</v>
      </c>
      <c r="F44" s="103"/>
      <c r="G44" s="103">
        <f t="shared" si="1"/>
        <v>-1000</v>
      </c>
    </row>
    <row r="45" spans="1:7" s="4" customFormat="1" x14ac:dyDescent="0.25">
      <c r="A45" s="133"/>
      <c r="B45" s="4" t="s">
        <v>56</v>
      </c>
      <c r="C45" s="23">
        <v>17400</v>
      </c>
      <c r="D45" s="103"/>
      <c r="E45" s="23">
        <f>17300+500-7800</f>
        <v>10000</v>
      </c>
      <c r="F45" s="103"/>
      <c r="G45" s="103">
        <f t="shared" si="1"/>
        <v>7400</v>
      </c>
    </row>
    <row r="46" spans="1:7" s="4" customFormat="1" x14ac:dyDescent="0.25">
      <c r="A46" s="133"/>
      <c r="B46" s="4" t="s">
        <v>57</v>
      </c>
      <c r="C46" s="23">
        <v>12000</v>
      </c>
      <c r="D46" s="103"/>
      <c r="E46" s="23">
        <v>12000</v>
      </c>
      <c r="F46" s="103"/>
      <c r="G46" s="103">
        <f t="shared" si="1"/>
        <v>0</v>
      </c>
    </row>
    <row r="47" spans="1:7" s="4" customFormat="1" x14ac:dyDescent="0.25">
      <c r="A47" s="133"/>
      <c r="B47" s="7" t="s">
        <v>182</v>
      </c>
      <c r="C47" s="112">
        <v>0</v>
      </c>
      <c r="D47" s="103"/>
      <c r="E47" s="112">
        <v>0</v>
      </c>
      <c r="F47" s="103"/>
      <c r="G47" s="112">
        <f t="shared" si="1"/>
        <v>0</v>
      </c>
    </row>
    <row r="48" spans="1:7" s="4" customFormat="1" x14ac:dyDescent="0.25">
      <c r="A48" s="133"/>
      <c r="C48" s="23"/>
      <c r="D48" s="103"/>
      <c r="E48" s="23"/>
      <c r="F48" s="103"/>
      <c r="G48" s="23"/>
    </row>
    <row r="49" spans="1:8" s="4" customFormat="1" x14ac:dyDescent="0.25">
      <c r="A49" s="6"/>
      <c r="B49" s="11" t="s">
        <v>67</v>
      </c>
      <c r="C49" s="23">
        <f>SUM(C42:C47)</f>
        <v>883200</v>
      </c>
      <c r="D49" s="103"/>
      <c r="E49" s="23">
        <f>SUM(E42:E47)</f>
        <v>1006900</v>
      </c>
      <c r="F49" s="103"/>
      <c r="G49" s="23">
        <f>SUM(G42:G48)</f>
        <v>-123700</v>
      </c>
    </row>
    <row r="50" spans="1:8" s="4" customFormat="1" x14ac:dyDescent="0.25">
      <c r="A50" s="6"/>
      <c r="B50" s="11"/>
      <c r="C50" s="23"/>
      <c r="D50" s="103"/>
      <c r="E50" s="23"/>
      <c r="F50" s="103"/>
      <c r="G50" s="23"/>
    </row>
    <row r="51" spans="1:8" s="4" customFormat="1" x14ac:dyDescent="0.25">
      <c r="A51" s="133"/>
      <c r="B51" s="9" t="s">
        <v>59</v>
      </c>
      <c r="C51" s="23">
        <f>0+47400+2600</f>
        <v>50000</v>
      </c>
      <c r="D51" s="103"/>
      <c r="E51" s="23">
        <f>50000-14300+14300+24600+31300</f>
        <v>105900</v>
      </c>
      <c r="F51" s="103"/>
      <c r="G51" s="23">
        <f>E51-C51</f>
        <v>55900</v>
      </c>
    </row>
    <row r="52" spans="1:8" s="4" customFormat="1" x14ac:dyDescent="0.25">
      <c r="A52" s="125"/>
      <c r="B52" s="6"/>
      <c r="C52" s="113"/>
      <c r="D52" s="103"/>
      <c r="E52" s="113"/>
      <c r="F52" s="103"/>
      <c r="G52" s="113"/>
    </row>
    <row r="53" spans="1:8" s="4" customFormat="1" x14ac:dyDescent="0.25">
      <c r="A53" s="125"/>
      <c r="C53" s="109"/>
      <c r="D53" s="103"/>
      <c r="E53" s="109"/>
      <c r="F53" s="103"/>
      <c r="G53" s="109"/>
    </row>
    <row r="54" spans="1:8" s="4" customFormat="1" x14ac:dyDescent="0.25">
      <c r="A54" s="125"/>
      <c r="B54" s="11" t="s">
        <v>55</v>
      </c>
      <c r="C54" s="113">
        <f>C49-C51</f>
        <v>833200</v>
      </c>
      <c r="D54" s="12"/>
      <c r="E54" s="113">
        <f>E49-E51</f>
        <v>901000</v>
      </c>
      <c r="F54" s="103"/>
      <c r="G54" s="113">
        <f>C54-E54</f>
        <v>-67800</v>
      </c>
    </row>
    <row r="55" spans="1:8" s="4" customFormat="1" ht="18.75" thickBot="1" x14ac:dyDescent="0.3">
      <c r="A55" s="125"/>
      <c r="B55" s="6"/>
      <c r="C55" s="142"/>
      <c r="D55" s="103"/>
      <c r="E55" s="142"/>
      <c r="F55" s="103"/>
      <c r="G55" s="142"/>
    </row>
    <row r="56" spans="1:8" s="4" customFormat="1" ht="18.75" thickTop="1" x14ac:dyDescent="0.25">
      <c r="A56" s="125"/>
      <c r="B56" s="6"/>
      <c r="C56" s="143"/>
      <c r="D56" s="103"/>
      <c r="E56" s="143"/>
      <c r="F56" s="103"/>
      <c r="G56" s="143"/>
    </row>
    <row r="57" spans="1:8" ht="41.25" customHeight="1" x14ac:dyDescent="0.25">
      <c r="A57" s="125"/>
      <c r="B57" s="6"/>
      <c r="C57" s="143"/>
      <c r="D57" s="103"/>
      <c r="E57" s="143"/>
      <c r="F57" s="103"/>
      <c r="G57" s="143"/>
      <c r="H57" s="4"/>
    </row>
    <row r="58" spans="1:8" ht="27.75" x14ac:dyDescent="0.4">
      <c r="A58" s="129"/>
      <c r="B58" s="217" t="s">
        <v>31</v>
      </c>
      <c r="C58" s="218"/>
      <c r="D58" s="218"/>
      <c r="E58" s="218"/>
      <c r="F58" s="218"/>
      <c r="G58" s="219"/>
    </row>
    <row r="59" spans="1:8" x14ac:dyDescent="0.25">
      <c r="A59" s="4"/>
      <c r="B59" s="4"/>
      <c r="C59" s="24"/>
      <c r="D59" s="103"/>
      <c r="E59" s="24"/>
      <c r="F59" s="103"/>
      <c r="G59" s="24"/>
    </row>
    <row r="60" spans="1:8" x14ac:dyDescent="0.25">
      <c r="A60" s="4"/>
      <c r="B60" s="4"/>
      <c r="C60" s="24"/>
      <c r="D60" s="103"/>
      <c r="E60" s="24"/>
      <c r="F60" s="103"/>
      <c r="G60" s="24"/>
    </row>
    <row r="61" spans="1:8" x14ac:dyDescent="0.25">
      <c r="A61" s="131"/>
      <c r="B61" s="5"/>
      <c r="C61" s="104" t="s">
        <v>200</v>
      </c>
      <c r="D61" s="103"/>
      <c r="E61" s="104" t="s">
        <v>212</v>
      </c>
      <c r="F61" s="103"/>
      <c r="G61" s="52"/>
    </row>
    <row r="62" spans="1:8" x14ac:dyDescent="0.25">
      <c r="B62" s="4"/>
      <c r="C62" s="105" t="s">
        <v>95</v>
      </c>
      <c r="D62" s="103"/>
      <c r="E62" s="105" t="s">
        <v>40</v>
      </c>
      <c r="F62" s="103"/>
      <c r="G62" s="61" t="s">
        <v>41</v>
      </c>
    </row>
    <row r="63" spans="1:8" x14ac:dyDescent="0.25">
      <c r="B63" s="4"/>
      <c r="C63" s="106" t="s">
        <v>42</v>
      </c>
      <c r="D63" s="103"/>
      <c r="E63" s="106" t="s">
        <v>42</v>
      </c>
      <c r="F63" s="103"/>
      <c r="G63" s="62" t="s">
        <v>28</v>
      </c>
    </row>
    <row r="64" spans="1:8" x14ac:dyDescent="0.25">
      <c r="B64" s="4"/>
      <c r="C64" s="23"/>
      <c r="E64" s="23"/>
      <c r="G64" s="23"/>
    </row>
    <row r="65" spans="1:8" ht="20.25" x14ac:dyDescent="0.3">
      <c r="B65" s="127" t="s">
        <v>64</v>
      </c>
      <c r="C65" s="23" t="s">
        <v>0</v>
      </c>
      <c r="E65" s="23" t="s">
        <v>0</v>
      </c>
      <c r="G65" s="23" t="s">
        <v>0</v>
      </c>
    </row>
    <row r="66" spans="1:8" x14ac:dyDescent="0.25">
      <c r="B66" s="4"/>
      <c r="C66" s="23"/>
      <c r="E66" s="23"/>
      <c r="G66" s="23"/>
    </row>
    <row r="67" spans="1:8" x14ac:dyDescent="0.25">
      <c r="C67" s="144"/>
      <c r="E67" s="144"/>
      <c r="G67" s="144"/>
    </row>
    <row r="68" spans="1:8" x14ac:dyDescent="0.25">
      <c r="A68" s="133"/>
      <c r="B68" s="4" t="s">
        <v>56</v>
      </c>
      <c r="C68" s="113">
        <v>83100</v>
      </c>
      <c r="D68" s="113"/>
      <c r="E68" s="113">
        <f>83100+2200+5200</f>
        <v>90500</v>
      </c>
      <c r="G68" s="102">
        <f>C68-E68</f>
        <v>-7400</v>
      </c>
    </row>
    <row r="69" spans="1:8" x14ac:dyDescent="0.25">
      <c r="B69" s="4"/>
      <c r="C69" s="113"/>
      <c r="D69" s="113"/>
      <c r="E69" s="113"/>
      <c r="G69" s="113"/>
    </row>
    <row r="70" spans="1:8" x14ac:dyDescent="0.25">
      <c r="B70" s="4"/>
      <c r="C70" s="109"/>
      <c r="D70" s="113"/>
      <c r="E70" s="109"/>
      <c r="G70" s="109"/>
    </row>
    <row r="71" spans="1:8" x14ac:dyDescent="0.25">
      <c r="B71" s="11" t="s">
        <v>55</v>
      </c>
      <c r="C71" s="113">
        <f>SUM(C68:C70)</f>
        <v>83100</v>
      </c>
      <c r="D71" s="113"/>
      <c r="E71" s="113">
        <f>SUM(E68:E70)</f>
        <v>90500</v>
      </c>
      <c r="G71" s="113">
        <f>C71-E71</f>
        <v>-7400</v>
      </c>
    </row>
    <row r="72" spans="1:8" ht="18.75" thickBot="1" x14ac:dyDescent="0.3">
      <c r="B72" s="1"/>
      <c r="C72" s="110"/>
      <c r="E72" s="110"/>
      <c r="G72" s="110"/>
    </row>
    <row r="73" spans="1:8" s="4" customFormat="1" ht="18.75" thickTop="1" x14ac:dyDescent="0.25">
      <c r="C73" s="24"/>
      <c r="D73" s="108"/>
      <c r="E73" s="24"/>
      <c r="F73" s="108"/>
      <c r="G73" s="24"/>
      <c r="H73" s="41"/>
    </row>
    <row r="74" spans="1:8" s="4" customFormat="1" x14ac:dyDescent="0.25">
      <c r="A74" s="1"/>
      <c r="B74" s="1"/>
      <c r="C74" s="113"/>
      <c r="D74" s="103"/>
      <c r="E74" s="113"/>
      <c r="F74" s="103"/>
      <c r="G74" s="113"/>
    </row>
    <row r="75" spans="1:8" s="4" customFormat="1" x14ac:dyDescent="0.25">
      <c r="A75" s="134"/>
      <c r="C75" s="113"/>
      <c r="D75" s="103"/>
      <c r="E75" s="113"/>
      <c r="F75" s="103"/>
      <c r="G75" s="113"/>
    </row>
    <row r="76" spans="1:8" ht="39.75" customHeight="1" x14ac:dyDescent="0.25">
      <c r="A76" s="5"/>
      <c r="B76" s="6"/>
      <c r="C76" s="113"/>
      <c r="D76" s="103"/>
      <c r="E76" s="113"/>
      <c r="F76" s="103"/>
      <c r="G76" s="113"/>
      <c r="H76" s="4"/>
    </row>
    <row r="77" spans="1:8" s="4" customFormat="1" ht="27.75" x14ac:dyDescent="0.4">
      <c r="A77" s="129"/>
      <c r="B77" s="217" t="s">
        <v>31</v>
      </c>
      <c r="C77" s="218"/>
      <c r="D77" s="218"/>
      <c r="E77" s="218"/>
      <c r="F77" s="218"/>
      <c r="G77" s="219"/>
      <c r="H77" s="41"/>
    </row>
    <row r="78" spans="1:8" s="4" customFormat="1" x14ac:dyDescent="0.25">
      <c r="C78" s="24"/>
      <c r="D78" s="103"/>
      <c r="E78" s="24"/>
      <c r="F78" s="103"/>
      <c r="G78" s="24"/>
    </row>
    <row r="79" spans="1:8" s="4" customFormat="1" x14ac:dyDescent="0.25">
      <c r="C79" s="24"/>
      <c r="D79" s="103"/>
      <c r="E79" s="24"/>
      <c r="F79" s="103"/>
      <c r="G79" s="24"/>
    </row>
    <row r="80" spans="1:8" s="4" customFormat="1" x14ac:dyDescent="0.25">
      <c r="A80" s="131"/>
      <c r="B80" s="5"/>
      <c r="C80" s="104" t="s">
        <v>200</v>
      </c>
      <c r="D80" s="103"/>
      <c r="E80" s="104" t="s">
        <v>212</v>
      </c>
      <c r="F80" s="103"/>
      <c r="G80" s="52"/>
    </row>
    <row r="81" spans="1:7" s="4" customFormat="1" x14ac:dyDescent="0.25">
      <c r="A81" s="22"/>
      <c r="B81" s="2"/>
      <c r="C81" s="105" t="s">
        <v>95</v>
      </c>
      <c r="D81" s="103"/>
      <c r="E81" s="105" t="s">
        <v>40</v>
      </c>
      <c r="F81" s="103"/>
      <c r="G81" s="61" t="s">
        <v>41</v>
      </c>
    </row>
    <row r="82" spans="1:7" s="4" customFormat="1" x14ac:dyDescent="0.25">
      <c r="A82" s="22"/>
      <c r="B82" s="3"/>
      <c r="C82" s="106" t="s">
        <v>42</v>
      </c>
      <c r="D82" s="103"/>
      <c r="E82" s="106" t="s">
        <v>42</v>
      </c>
      <c r="F82" s="103"/>
      <c r="G82" s="62" t="s">
        <v>28</v>
      </c>
    </row>
    <row r="83" spans="1:7" s="4" customFormat="1" x14ac:dyDescent="0.25">
      <c r="A83" s="22"/>
      <c r="C83" s="113"/>
      <c r="D83" s="103"/>
      <c r="E83" s="113"/>
      <c r="F83" s="103"/>
      <c r="G83" s="23"/>
    </row>
    <row r="84" spans="1:7" s="4" customFormat="1" ht="20.25" x14ac:dyDescent="0.3">
      <c r="A84" s="5"/>
      <c r="B84" s="150" t="s">
        <v>11</v>
      </c>
      <c r="C84" s="23" t="s">
        <v>0</v>
      </c>
      <c r="D84" s="103"/>
      <c r="E84" s="23" t="s">
        <v>0</v>
      </c>
      <c r="F84" s="103"/>
      <c r="G84" s="23" t="s">
        <v>0</v>
      </c>
    </row>
    <row r="85" spans="1:7" s="4" customFormat="1" x14ac:dyDescent="0.25">
      <c r="A85" s="5"/>
      <c r="C85" s="23"/>
      <c r="D85" s="103"/>
      <c r="E85" s="23"/>
      <c r="F85" s="103"/>
      <c r="G85" s="23"/>
    </row>
    <row r="86" spans="1:7" s="4" customFormat="1" x14ac:dyDescent="0.25">
      <c r="A86" s="133"/>
      <c r="B86" s="4" t="s">
        <v>56</v>
      </c>
      <c r="C86" s="113">
        <v>11500</v>
      </c>
      <c r="D86" s="103"/>
      <c r="E86" s="113">
        <v>11500</v>
      </c>
      <c r="F86" s="103"/>
      <c r="G86" s="24">
        <f>C86-E86</f>
        <v>0</v>
      </c>
    </row>
    <row r="87" spans="1:7" s="4" customFormat="1" x14ac:dyDescent="0.25">
      <c r="A87" s="5"/>
      <c r="C87" s="10"/>
      <c r="D87" s="103"/>
      <c r="E87" s="10"/>
      <c r="F87" s="103"/>
      <c r="G87" s="112"/>
    </row>
    <row r="88" spans="1:7" s="4" customFormat="1" x14ac:dyDescent="0.25">
      <c r="A88" s="5"/>
      <c r="C88" s="23"/>
      <c r="D88" s="103"/>
      <c r="E88" s="23"/>
      <c r="F88" s="103"/>
      <c r="G88" s="23"/>
    </row>
    <row r="89" spans="1:7" s="4" customFormat="1" x14ac:dyDescent="0.25">
      <c r="A89" s="22"/>
      <c r="B89" s="11" t="s">
        <v>55</v>
      </c>
      <c r="C89" s="113">
        <f>C86</f>
        <v>11500</v>
      </c>
      <c r="D89" s="103"/>
      <c r="E89" s="113">
        <f>E86</f>
        <v>11500</v>
      </c>
      <c r="F89" s="103"/>
      <c r="G89" s="113">
        <f>C89-E89</f>
        <v>0</v>
      </c>
    </row>
    <row r="90" spans="1:7" s="4" customFormat="1" ht="18.75" thickBot="1" x14ac:dyDescent="0.3">
      <c r="A90" s="5"/>
      <c r="B90" s="6"/>
      <c r="C90" s="110"/>
      <c r="D90" s="103"/>
      <c r="E90" s="110"/>
      <c r="F90" s="103"/>
      <c r="G90" s="110"/>
    </row>
    <row r="91" spans="1:7" s="4" customFormat="1" ht="18.75" thickTop="1" x14ac:dyDescent="0.25">
      <c r="A91" s="22"/>
      <c r="C91" s="113"/>
      <c r="D91" s="103"/>
      <c r="E91" s="113"/>
      <c r="F91" s="103"/>
      <c r="G91" s="113"/>
    </row>
    <row r="92" spans="1:7" s="4" customFormat="1" x14ac:dyDescent="0.25">
      <c r="A92" s="5"/>
      <c r="C92" s="23"/>
      <c r="D92" s="103"/>
      <c r="E92" s="23"/>
      <c r="F92" s="103"/>
      <c r="G92" s="23"/>
    </row>
    <row r="93" spans="1:7" s="4" customFormat="1" ht="41.25" customHeight="1" x14ac:dyDescent="0.25">
      <c r="A93" s="5"/>
      <c r="C93" s="23"/>
      <c r="D93" s="103"/>
      <c r="E93" s="23"/>
      <c r="F93" s="103"/>
      <c r="G93" s="23"/>
    </row>
    <row r="94" spans="1:7" s="4" customFormat="1" ht="27.75" x14ac:dyDescent="0.25">
      <c r="A94" s="5"/>
      <c r="B94" s="217" t="s">
        <v>31</v>
      </c>
      <c r="C94" s="218"/>
      <c r="D94" s="218"/>
      <c r="E94" s="218"/>
      <c r="F94" s="218"/>
      <c r="G94" s="219"/>
    </row>
    <row r="95" spans="1:7" s="4" customFormat="1" x14ac:dyDescent="0.25">
      <c r="A95" s="5"/>
      <c r="C95" s="23"/>
      <c r="D95" s="103"/>
      <c r="E95" s="23"/>
      <c r="F95" s="103"/>
      <c r="G95" s="23"/>
    </row>
    <row r="96" spans="1:7" s="4" customFormat="1" x14ac:dyDescent="0.25">
      <c r="A96" s="5"/>
      <c r="C96" s="23"/>
      <c r="D96" s="103"/>
      <c r="E96" s="23"/>
      <c r="F96" s="103"/>
      <c r="G96" s="23"/>
    </row>
    <row r="97" spans="1:8" s="4" customFormat="1" ht="21.75" x14ac:dyDescent="0.3">
      <c r="A97" s="220"/>
      <c r="B97" s="220"/>
      <c r="C97" s="104" t="s">
        <v>200</v>
      </c>
      <c r="D97" s="103"/>
      <c r="E97" s="104" t="s">
        <v>212</v>
      </c>
      <c r="F97" s="103"/>
      <c r="G97" s="52"/>
    </row>
    <row r="98" spans="1:8" s="4" customFormat="1" x14ac:dyDescent="0.25">
      <c r="B98" s="85"/>
      <c r="C98" s="105" t="s">
        <v>95</v>
      </c>
      <c r="D98" s="103"/>
      <c r="E98" s="105" t="s">
        <v>40</v>
      </c>
      <c r="F98" s="103"/>
      <c r="G98" s="61" t="s">
        <v>41</v>
      </c>
    </row>
    <row r="99" spans="1:8" s="4" customFormat="1" x14ac:dyDescent="0.25">
      <c r="C99" s="106" t="s">
        <v>42</v>
      </c>
      <c r="D99" s="103"/>
      <c r="E99" s="106" t="s">
        <v>42</v>
      </c>
      <c r="F99" s="103"/>
      <c r="G99" s="62" t="s">
        <v>28</v>
      </c>
    </row>
    <row r="100" spans="1:8" s="4" customFormat="1" x14ac:dyDescent="0.25">
      <c r="C100" s="113"/>
      <c r="D100" s="103"/>
      <c r="E100" s="113"/>
      <c r="F100" s="103"/>
      <c r="G100" s="23"/>
    </row>
    <row r="101" spans="1:8" s="4" customFormat="1" ht="20.25" x14ac:dyDescent="0.3">
      <c r="A101" s="5"/>
      <c r="B101" s="150" t="s">
        <v>65</v>
      </c>
      <c r="C101" s="23" t="s">
        <v>0</v>
      </c>
      <c r="D101" s="103"/>
      <c r="E101" s="23" t="s">
        <v>0</v>
      </c>
      <c r="F101" s="103"/>
      <c r="G101" s="23" t="s">
        <v>0</v>
      </c>
    </row>
    <row r="102" spans="1:8" s="4" customFormat="1" x14ac:dyDescent="0.25">
      <c r="A102" s="134"/>
      <c r="C102" s="113"/>
      <c r="D102" s="103"/>
      <c r="E102" s="113"/>
      <c r="F102" s="103"/>
    </row>
    <row r="103" spans="1:8" s="4" customFormat="1" x14ac:dyDescent="0.25">
      <c r="A103" s="133"/>
      <c r="B103" s="4" t="s">
        <v>56</v>
      </c>
      <c r="C103" s="113">
        <f>7600-1000</f>
        <v>6600</v>
      </c>
      <c r="D103" s="24"/>
      <c r="E103" s="113">
        <f>6600+10000</f>
        <v>16600</v>
      </c>
      <c r="F103" s="103"/>
      <c r="G103" s="102">
        <f>C103-E103</f>
        <v>-10000</v>
      </c>
    </row>
    <row r="104" spans="1:8" s="4" customFormat="1" x14ac:dyDescent="0.25">
      <c r="A104" s="133"/>
      <c r="B104" s="4" t="s">
        <v>57</v>
      </c>
      <c r="C104" s="113">
        <v>9800</v>
      </c>
      <c r="D104" s="24"/>
      <c r="E104" s="113">
        <f>9800-200</f>
        <v>9600</v>
      </c>
      <c r="F104" s="103"/>
      <c r="G104" s="102">
        <f>C104-E104</f>
        <v>200</v>
      </c>
    </row>
    <row r="105" spans="1:8" s="4" customFormat="1" x14ac:dyDescent="0.25">
      <c r="A105" s="133"/>
      <c r="C105" s="205"/>
      <c r="D105" s="212"/>
      <c r="E105" s="205"/>
      <c r="F105" s="212"/>
      <c r="G105" s="205"/>
    </row>
    <row r="106" spans="1:8" s="4" customFormat="1" x14ac:dyDescent="0.25">
      <c r="A106" s="133"/>
      <c r="B106" s="11" t="s">
        <v>67</v>
      </c>
      <c r="C106" s="23">
        <f>SUM(C99:C104)</f>
        <v>16400</v>
      </c>
      <c r="D106" s="103"/>
      <c r="E106" s="23">
        <f>SUM(E99:E104)</f>
        <v>26200</v>
      </c>
      <c r="F106" s="103"/>
      <c r="G106" s="23">
        <f>SUM(G99:G105)</f>
        <v>-9800</v>
      </c>
    </row>
    <row r="107" spans="1:8" s="4" customFormat="1" x14ac:dyDescent="0.25">
      <c r="A107" s="133"/>
      <c r="B107" s="11"/>
      <c r="C107" s="23"/>
      <c r="D107" s="103"/>
      <c r="E107" s="23"/>
      <c r="F107" s="103"/>
      <c r="G107" s="23"/>
    </row>
    <row r="108" spans="1:8" s="4" customFormat="1" x14ac:dyDescent="0.25">
      <c r="A108" s="133"/>
      <c r="B108" s="9" t="s">
        <v>59</v>
      </c>
      <c r="C108" s="23">
        <v>0</v>
      </c>
      <c r="D108" s="103"/>
      <c r="E108" s="23">
        <v>10000</v>
      </c>
      <c r="F108" s="103"/>
      <c r="G108" s="23">
        <f>E108-C108</f>
        <v>10000</v>
      </c>
    </row>
    <row r="109" spans="1:8" s="4" customFormat="1" x14ac:dyDescent="0.25">
      <c r="A109" s="134"/>
      <c r="C109" s="112"/>
      <c r="D109" s="103"/>
      <c r="E109" s="112"/>
      <c r="F109" s="103"/>
      <c r="G109" s="112"/>
    </row>
    <row r="110" spans="1:8" s="1" customFormat="1" x14ac:dyDescent="0.25">
      <c r="A110" s="134"/>
      <c r="B110" s="4"/>
      <c r="C110" s="113"/>
      <c r="D110" s="103"/>
      <c r="E110" s="113"/>
      <c r="F110" s="103"/>
      <c r="G110" s="113"/>
      <c r="H110" s="4"/>
    </row>
    <row r="111" spans="1:8" s="4" customFormat="1" x14ac:dyDescent="0.25">
      <c r="A111" s="134"/>
      <c r="B111" s="11" t="s">
        <v>55</v>
      </c>
      <c r="C111" s="113">
        <f>SUM(C103:C104)-C108</f>
        <v>16400</v>
      </c>
      <c r="D111" s="114"/>
      <c r="E111" s="113">
        <f>SUM(E103:E104)-E108</f>
        <v>16200</v>
      </c>
      <c r="F111" s="114"/>
      <c r="G111" s="113">
        <f>C111-E111</f>
        <v>200</v>
      </c>
      <c r="H111" s="1"/>
    </row>
    <row r="112" spans="1:8" s="4" customFormat="1" ht="18.75" thickBot="1" x14ac:dyDescent="0.3">
      <c r="A112" s="134"/>
      <c r="C112" s="110"/>
      <c r="D112" s="103"/>
      <c r="E112" s="110"/>
      <c r="F112" s="103"/>
      <c r="G112" s="110"/>
    </row>
    <row r="113" spans="1:8" ht="41.25" customHeight="1" thickTop="1" x14ac:dyDescent="0.3">
      <c r="A113" s="220"/>
      <c r="B113" s="220"/>
      <c r="C113" s="102"/>
      <c r="D113" s="103"/>
      <c r="E113" s="102"/>
      <c r="F113" s="103"/>
      <c r="G113" s="102"/>
      <c r="H113" s="4"/>
    </row>
    <row r="114" spans="1:8" s="4" customFormat="1" ht="27.75" x14ac:dyDescent="0.4">
      <c r="A114" s="129"/>
      <c r="B114" s="217" t="s">
        <v>31</v>
      </c>
      <c r="C114" s="218"/>
      <c r="D114" s="218"/>
      <c r="E114" s="218"/>
      <c r="F114" s="218"/>
      <c r="G114" s="219"/>
      <c r="H114" s="41"/>
    </row>
    <row r="115" spans="1:8" s="4" customFormat="1" x14ac:dyDescent="0.25">
      <c r="C115" s="24"/>
      <c r="D115" s="103"/>
      <c r="E115" s="24"/>
      <c r="F115" s="103"/>
      <c r="G115" s="24"/>
    </row>
    <row r="116" spans="1:8" s="4" customFormat="1" x14ac:dyDescent="0.25">
      <c r="C116" s="24"/>
      <c r="D116" s="103"/>
      <c r="E116" s="24"/>
      <c r="F116" s="103"/>
      <c r="G116" s="24"/>
    </row>
    <row r="117" spans="1:8" s="4" customFormat="1" x14ac:dyDescent="0.25">
      <c r="A117" s="131"/>
      <c r="B117" s="5"/>
      <c r="C117" s="104" t="s">
        <v>200</v>
      </c>
      <c r="D117" s="103"/>
      <c r="E117" s="104" t="s">
        <v>212</v>
      </c>
      <c r="F117" s="103"/>
      <c r="G117" s="52"/>
    </row>
    <row r="118" spans="1:8" s="4" customFormat="1" x14ac:dyDescent="0.25">
      <c r="C118" s="105" t="s">
        <v>95</v>
      </c>
      <c r="D118" s="103"/>
      <c r="E118" s="105" t="s">
        <v>40</v>
      </c>
      <c r="F118" s="103"/>
      <c r="G118" s="61" t="s">
        <v>41</v>
      </c>
    </row>
    <row r="119" spans="1:8" s="4" customFormat="1" x14ac:dyDescent="0.25">
      <c r="C119" s="106" t="s">
        <v>42</v>
      </c>
      <c r="D119" s="103"/>
      <c r="E119" s="106" t="s">
        <v>42</v>
      </c>
      <c r="F119" s="103"/>
      <c r="G119" s="62" t="s">
        <v>28</v>
      </c>
    </row>
    <row r="120" spans="1:8" s="4" customFormat="1" x14ac:dyDescent="0.25">
      <c r="C120" s="23"/>
      <c r="D120" s="103"/>
      <c r="E120" s="23"/>
      <c r="F120" s="103"/>
      <c r="G120" s="23"/>
    </row>
    <row r="121" spans="1:8" s="4" customFormat="1" ht="20.25" x14ac:dyDescent="0.3">
      <c r="B121" s="118" t="s">
        <v>8</v>
      </c>
      <c r="C121" s="113" t="s">
        <v>0</v>
      </c>
      <c r="D121" s="12"/>
      <c r="E121" s="113" t="s">
        <v>0</v>
      </c>
      <c r="F121" s="12"/>
      <c r="G121" s="113" t="s">
        <v>0</v>
      </c>
    </row>
    <row r="122" spans="1:8" s="4" customFormat="1" x14ac:dyDescent="0.25">
      <c r="C122" s="24"/>
      <c r="D122" s="103"/>
      <c r="E122" s="24"/>
      <c r="F122" s="103"/>
      <c r="G122" s="24"/>
    </row>
    <row r="123" spans="1:8" s="4" customFormat="1" x14ac:dyDescent="0.25">
      <c r="A123" s="133"/>
      <c r="B123" s="4" t="s">
        <v>83</v>
      </c>
      <c r="C123" s="23">
        <v>600</v>
      </c>
      <c r="D123" s="103"/>
      <c r="E123" s="23">
        <v>600</v>
      </c>
      <c r="F123" s="103"/>
      <c r="G123" s="24">
        <f>C123-E123</f>
        <v>0</v>
      </c>
    </row>
    <row r="124" spans="1:8" s="4" customFormat="1" x14ac:dyDescent="0.25">
      <c r="A124" s="133"/>
      <c r="B124" s="4" t="s">
        <v>56</v>
      </c>
      <c r="C124" s="23">
        <v>22800</v>
      </c>
      <c r="D124" s="103"/>
      <c r="E124" s="23">
        <f>22800-500</f>
        <v>22300</v>
      </c>
      <c r="F124" s="103"/>
      <c r="G124" s="24">
        <f>C124-E124</f>
        <v>500</v>
      </c>
    </row>
    <row r="125" spans="1:8" s="4" customFormat="1" x14ac:dyDescent="0.25">
      <c r="A125" s="133"/>
      <c r="B125" s="4" t="s">
        <v>68</v>
      </c>
      <c r="C125" s="23">
        <v>0</v>
      </c>
      <c r="D125" s="103"/>
      <c r="E125" s="23">
        <v>0</v>
      </c>
      <c r="F125" s="103"/>
      <c r="G125" s="23">
        <f>C125-E125</f>
        <v>0</v>
      </c>
    </row>
    <row r="126" spans="1:8" s="4" customFormat="1" ht="21.75" customHeight="1" x14ac:dyDescent="0.25">
      <c r="C126" s="109"/>
      <c r="D126" s="103"/>
      <c r="E126" s="109"/>
      <c r="F126" s="103"/>
      <c r="G126" s="109"/>
    </row>
    <row r="127" spans="1:8" s="4" customFormat="1" ht="21.75" customHeight="1" x14ac:dyDescent="0.25">
      <c r="B127" s="13" t="s">
        <v>67</v>
      </c>
      <c r="C127" s="23">
        <f>SUM(C123:C125)</f>
        <v>23400</v>
      </c>
      <c r="D127" s="12"/>
      <c r="E127" s="23">
        <f>SUM(E123:E125)</f>
        <v>22900</v>
      </c>
      <c r="F127" s="103"/>
      <c r="G127" s="23">
        <f>C127-E127</f>
        <v>500</v>
      </c>
    </row>
    <row r="128" spans="1:8" s="4" customFormat="1" x14ac:dyDescent="0.25">
      <c r="B128" s="13"/>
      <c r="C128" s="23"/>
      <c r="D128" s="12"/>
      <c r="E128" s="23"/>
      <c r="F128" s="103"/>
      <c r="G128" s="23"/>
    </row>
    <row r="129" spans="1:8" s="1" customFormat="1" x14ac:dyDescent="0.25">
      <c r="A129" s="133"/>
      <c r="B129" s="4" t="s">
        <v>69</v>
      </c>
      <c r="C129" s="23">
        <v>0</v>
      </c>
      <c r="D129" s="12"/>
      <c r="E129" s="23">
        <f>128000-128000</f>
        <v>0</v>
      </c>
      <c r="F129" s="103"/>
      <c r="G129" s="23">
        <f>E129-C129</f>
        <v>0</v>
      </c>
      <c r="H129" s="4"/>
    </row>
    <row r="130" spans="1:8" s="1" customFormat="1" x14ac:dyDescent="0.25">
      <c r="C130" s="112"/>
      <c r="D130" s="114"/>
      <c r="E130" s="112"/>
      <c r="F130" s="114"/>
      <c r="G130" s="112"/>
    </row>
    <row r="131" spans="1:8" s="1" customFormat="1" x14ac:dyDescent="0.25">
      <c r="C131" s="102"/>
      <c r="D131" s="114"/>
      <c r="E131" s="102"/>
      <c r="F131" s="114"/>
      <c r="G131" s="102"/>
    </row>
    <row r="132" spans="1:8" s="1" customFormat="1" x14ac:dyDescent="0.25">
      <c r="B132" s="11" t="s">
        <v>55</v>
      </c>
      <c r="C132" s="113">
        <f>C127-C129</f>
        <v>23400</v>
      </c>
      <c r="D132" s="114"/>
      <c r="E132" s="113">
        <f>E127-E129</f>
        <v>22900</v>
      </c>
      <c r="F132" s="114"/>
      <c r="G132" s="113">
        <f>C132-E132</f>
        <v>500</v>
      </c>
    </row>
    <row r="133" spans="1:8" s="1" customFormat="1" ht="18.75" thickBot="1" x14ac:dyDescent="0.3">
      <c r="B133" s="100"/>
      <c r="C133" s="110"/>
      <c r="D133" s="114"/>
      <c r="E133" s="110"/>
      <c r="F133" s="114"/>
      <c r="G133" s="110"/>
    </row>
    <row r="134" spans="1:8" s="1" customFormat="1" ht="18.75" thickTop="1" x14ac:dyDescent="0.25">
      <c r="B134" s="100"/>
      <c r="C134" s="113"/>
      <c r="D134" s="114"/>
      <c r="E134" s="113"/>
      <c r="F134" s="114"/>
      <c r="G134" s="113"/>
    </row>
    <row r="135" spans="1:8" s="1" customFormat="1" ht="41.25" customHeight="1" x14ac:dyDescent="0.25">
      <c r="B135" s="100"/>
      <c r="C135" s="113"/>
      <c r="D135" s="114"/>
      <c r="E135" s="113"/>
      <c r="F135" s="114"/>
      <c r="G135" s="113"/>
    </row>
    <row r="136" spans="1:8" s="1" customFormat="1" ht="27.75" x14ac:dyDescent="0.25">
      <c r="B136" s="217" t="s">
        <v>31</v>
      </c>
      <c r="C136" s="218"/>
      <c r="D136" s="218"/>
      <c r="E136" s="218"/>
      <c r="F136" s="218"/>
      <c r="G136" s="219"/>
    </row>
    <row r="137" spans="1:8" s="1" customFormat="1" x14ac:dyDescent="0.25">
      <c r="B137" s="100"/>
      <c r="C137" s="113"/>
      <c r="D137" s="114"/>
      <c r="E137" s="113"/>
      <c r="F137" s="114"/>
      <c r="G137" s="113"/>
    </row>
    <row r="138" spans="1:8" s="1" customFormat="1" x14ac:dyDescent="0.25">
      <c r="B138" s="100"/>
      <c r="C138" s="113"/>
      <c r="D138" s="114"/>
      <c r="E138" s="113"/>
      <c r="F138" s="114"/>
      <c r="G138" s="113"/>
    </row>
    <row r="139" spans="1:8" s="1" customFormat="1" x14ac:dyDescent="0.25">
      <c r="B139" s="100"/>
      <c r="C139" s="104" t="s">
        <v>200</v>
      </c>
      <c r="D139" s="103"/>
      <c r="E139" s="104" t="s">
        <v>212</v>
      </c>
      <c r="F139" s="103"/>
      <c r="G139" s="52"/>
    </row>
    <row r="140" spans="1:8" s="1" customFormat="1" x14ac:dyDescent="0.25">
      <c r="A140" s="134"/>
      <c r="C140" s="105" t="s">
        <v>95</v>
      </c>
      <c r="D140" s="103"/>
      <c r="E140" s="105" t="s">
        <v>40</v>
      </c>
      <c r="F140" s="103"/>
      <c r="G140" s="61" t="s">
        <v>41</v>
      </c>
    </row>
    <row r="141" spans="1:8" s="1" customFormat="1" x14ac:dyDescent="0.25">
      <c r="A141" s="134"/>
      <c r="B141" s="4"/>
      <c r="C141" s="106" t="s">
        <v>42</v>
      </c>
      <c r="D141" s="103"/>
      <c r="E141" s="106" t="s">
        <v>42</v>
      </c>
      <c r="F141" s="103"/>
      <c r="G141" s="62" t="s">
        <v>28</v>
      </c>
    </row>
    <row r="142" spans="1:8" s="1" customFormat="1" x14ac:dyDescent="0.25">
      <c r="A142" s="134"/>
      <c r="B142" s="4"/>
      <c r="C142" s="113"/>
      <c r="D142" s="114"/>
      <c r="E142" s="113"/>
      <c r="F142" s="114"/>
      <c r="G142" s="25"/>
    </row>
    <row r="143" spans="1:8" s="1" customFormat="1" ht="20.25" x14ac:dyDescent="0.3">
      <c r="A143" s="134"/>
      <c r="B143" s="150" t="s">
        <v>3</v>
      </c>
      <c r="C143" s="23" t="s">
        <v>0</v>
      </c>
      <c r="D143" s="114"/>
      <c r="E143" s="23" t="s">
        <v>0</v>
      </c>
      <c r="F143" s="114"/>
      <c r="G143" s="23" t="s">
        <v>0</v>
      </c>
    </row>
    <row r="144" spans="1:8" s="1" customFormat="1" x14ac:dyDescent="0.25">
      <c r="A144" s="134"/>
      <c r="B144" s="4"/>
      <c r="C144" s="113"/>
      <c r="D144" s="114"/>
      <c r="E144" s="113"/>
      <c r="F144" s="114"/>
      <c r="G144" s="25"/>
    </row>
    <row r="145" spans="1:8" s="1" customFormat="1" x14ac:dyDescent="0.25">
      <c r="A145" s="134"/>
      <c r="B145" s="4" t="s">
        <v>56</v>
      </c>
      <c r="C145" s="113">
        <v>34700</v>
      </c>
      <c r="D145" s="114"/>
      <c r="E145" s="113">
        <f>34700+3000</f>
        <v>37700</v>
      </c>
      <c r="F145" s="114"/>
      <c r="G145" s="1">
        <f>C145-E145</f>
        <v>-3000</v>
      </c>
    </row>
    <row r="146" spans="1:8" s="1" customFormat="1" x14ac:dyDescent="0.25">
      <c r="A146" s="134"/>
      <c r="B146" s="4" t="s">
        <v>57</v>
      </c>
      <c r="C146" s="113">
        <v>79300</v>
      </c>
      <c r="D146" s="114"/>
      <c r="E146" s="113">
        <f>79300+3200+1200</f>
        <v>83700</v>
      </c>
      <c r="F146" s="114"/>
      <c r="G146" s="102">
        <f>C146-E146</f>
        <v>-4400</v>
      </c>
    </row>
    <row r="147" spans="1:8" s="1" customFormat="1" x14ac:dyDescent="0.25">
      <c r="A147" s="134"/>
      <c r="B147" s="4" t="s">
        <v>70</v>
      </c>
      <c r="C147" s="112">
        <v>15000</v>
      </c>
      <c r="D147" s="114"/>
      <c r="E147" s="112">
        <f>5000+10000</f>
        <v>15000</v>
      </c>
      <c r="F147" s="114"/>
      <c r="G147" s="128">
        <f>C147-E147</f>
        <v>0</v>
      </c>
    </row>
    <row r="148" spans="1:8" s="1" customFormat="1" x14ac:dyDescent="0.25">
      <c r="A148" s="134"/>
      <c r="B148" s="4"/>
      <c r="C148" s="113"/>
      <c r="D148" s="114"/>
      <c r="E148" s="113"/>
      <c r="F148" s="114"/>
      <c r="G148" s="113"/>
    </row>
    <row r="149" spans="1:8" s="1" customFormat="1" x14ac:dyDescent="0.25">
      <c r="A149" s="134"/>
      <c r="B149" s="13" t="s">
        <v>67</v>
      </c>
      <c r="C149" s="113">
        <f>SUM(C145:C147)</f>
        <v>129000</v>
      </c>
      <c r="D149" s="114"/>
      <c r="E149" s="113">
        <f>SUM(E145:E147)</f>
        <v>136400</v>
      </c>
      <c r="F149" s="114"/>
      <c r="G149" s="113">
        <f>C149-E149</f>
        <v>-7400</v>
      </c>
    </row>
    <row r="150" spans="1:8" s="1" customFormat="1" x14ac:dyDescent="0.25">
      <c r="A150" s="134"/>
      <c r="B150" s="13"/>
      <c r="C150" s="113"/>
      <c r="D150" s="114"/>
      <c r="E150" s="113"/>
      <c r="F150" s="114"/>
      <c r="G150" s="113"/>
    </row>
    <row r="151" spans="1:8" s="1" customFormat="1" x14ac:dyDescent="0.25">
      <c r="A151" s="134"/>
      <c r="B151" s="1" t="s">
        <v>213</v>
      </c>
      <c r="C151" s="113"/>
      <c r="D151" s="114"/>
      <c r="E151" s="113">
        <v>2000</v>
      </c>
      <c r="F151" s="114"/>
      <c r="G151" s="113">
        <f>E151-C151</f>
        <v>2000</v>
      </c>
    </row>
    <row r="152" spans="1:8" s="1" customFormat="1" x14ac:dyDescent="0.25">
      <c r="A152" s="134"/>
      <c r="B152" s="4" t="s">
        <v>69</v>
      </c>
      <c r="C152" s="113">
        <v>105000</v>
      </c>
      <c r="D152" s="114"/>
      <c r="E152" s="113">
        <v>105000</v>
      </c>
      <c r="F152" s="114"/>
      <c r="G152" s="113">
        <f>E152-C152</f>
        <v>0</v>
      </c>
    </row>
    <row r="153" spans="1:8" s="1" customFormat="1" x14ac:dyDescent="0.25">
      <c r="A153" s="134"/>
      <c r="B153" s="4"/>
      <c r="C153" s="113"/>
      <c r="D153" s="114"/>
      <c r="E153" s="113"/>
      <c r="F153" s="114"/>
      <c r="G153" s="113"/>
    </row>
    <row r="154" spans="1:8" s="1" customFormat="1" x14ac:dyDescent="0.25">
      <c r="A154" s="134"/>
      <c r="B154" s="8"/>
      <c r="C154" s="109"/>
      <c r="D154" s="145"/>
      <c r="E154" s="109"/>
      <c r="F154" s="114"/>
      <c r="G154" s="109"/>
    </row>
    <row r="155" spans="1:8" s="1" customFormat="1" x14ac:dyDescent="0.25">
      <c r="A155" s="134"/>
      <c r="B155" s="11" t="s">
        <v>55</v>
      </c>
      <c r="C155" s="113">
        <f>C149-C152</f>
        <v>24000</v>
      </c>
      <c r="D155" s="114"/>
      <c r="E155" s="113">
        <f>E149-SUM(E151:E152)</f>
        <v>29400</v>
      </c>
      <c r="F155" s="114"/>
      <c r="G155" s="113">
        <f>C155-E155</f>
        <v>-5400</v>
      </c>
    </row>
    <row r="156" spans="1:8" s="1" customFormat="1" ht="18.75" thickBot="1" x14ac:dyDescent="0.3">
      <c r="A156" s="134"/>
      <c r="B156" s="8"/>
      <c r="C156" s="113"/>
      <c r="D156" s="114"/>
      <c r="E156" s="113"/>
      <c r="F156" s="114"/>
      <c r="G156" s="113"/>
    </row>
    <row r="157" spans="1:8" s="1" customFormat="1" ht="18.75" thickTop="1" x14ac:dyDescent="0.25">
      <c r="B157" s="100"/>
      <c r="C157" s="146"/>
      <c r="D157" s="114"/>
      <c r="E157" s="146"/>
      <c r="F157" s="114"/>
      <c r="G157" s="146"/>
    </row>
    <row r="158" spans="1:8" s="4" customFormat="1" x14ac:dyDescent="0.25">
      <c r="A158" s="1"/>
      <c r="B158" s="100"/>
      <c r="C158" s="113"/>
      <c r="D158" s="114"/>
      <c r="E158" s="113"/>
      <c r="F158" s="114"/>
      <c r="G158" s="113"/>
      <c r="H158" s="1"/>
    </row>
    <row r="159" spans="1:8" ht="39.75" customHeight="1" x14ac:dyDescent="0.25">
      <c r="A159" s="4"/>
      <c r="B159" s="6"/>
      <c r="C159" s="113"/>
      <c r="D159" s="103"/>
      <c r="E159" s="113"/>
      <c r="F159" s="103"/>
      <c r="G159" s="113"/>
      <c r="H159" s="4"/>
    </row>
    <row r="160" spans="1:8" s="4" customFormat="1" ht="27.75" x14ac:dyDescent="0.4">
      <c r="A160" s="129"/>
      <c r="B160" s="217" t="s">
        <v>31</v>
      </c>
      <c r="C160" s="218"/>
      <c r="D160" s="218"/>
      <c r="E160" s="218"/>
      <c r="F160" s="218"/>
      <c r="G160" s="219"/>
      <c r="H160" s="41"/>
    </row>
    <row r="161" spans="1:8" s="4" customFormat="1" x14ac:dyDescent="0.25">
      <c r="C161" s="24"/>
      <c r="D161" s="103"/>
      <c r="E161" s="24"/>
      <c r="F161" s="103"/>
      <c r="G161" s="24"/>
    </row>
    <row r="162" spans="1:8" s="4" customFormat="1" x14ac:dyDescent="0.25">
      <c r="C162" s="24"/>
      <c r="D162" s="103"/>
      <c r="E162" s="24"/>
      <c r="F162" s="103"/>
      <c r="G162" s="24"/>
    </row>
    <row r="163" spans="1:8" s="4" customFormat="1" x14ac:dyDescent="0.25">
      <c r="A163" s="131"/>
      <c r="B163" s="5"/>
      <c r="C163" s="104" t="s">
        <v>200</v>
      </c>
      <c r="D163" s="103"/>
      <c r="E163" s="104" t="s">
        <v>212</v>
      </c>
      <c r="F163" s="103"/>
      <c r="G163" s="52"/>
    </row>
    <row r="164" spans="1:8" s="4" customFormat="1" x14ac:dyDescent="0.25">
      <c r="C164" s="105" t="s">
        <v>95</v>
      </c>
      <c r="D164" s="103"/>
      <c r="E164" s="105" t="s">
        <v>40</v>
      </c>
      <c r="F164" s="103"/>
      <c r="G164" s="61" t="s">
        <v>41</v>
      </c>
    </row>
    <row r="165" spans="1:8" s="4" customFormat="1" x14ac:dyDescent="0.25">
      <c r="C165" s="106" t="s">
        <v>42</v>
      </c>
      <c r="D165" s="103"/>
      <c r="E165" s="106" t="s">
        <v>42</v>
      </c>
      <c r="F165" s="103"/>
      <c r="G165" s="62" t="s">
        <v>28</v>
      </c>
    </row>
    <row r="166" spans="1:8" s="4" customFormat="1" x14ac:dyDescent="0.25">
      <c r="C166" s="23"/>
      <c r="D166" s="103"/>
      <c r="E166" s="23"/>
      <c r="F166" s="103"/>
      <c r="G166" s="23"/>
    </row>
    <row r="167" spans="1:8" s="4" customFormat="1" x14ac:dyDescent="0.25">
      <c r="B167" s="11" t="s">
        <v>9</v>
      </c>
      <c r="C167" s="23" t="s">
        <v>0</v>
      </c>
      <c r="D167" s="103"/>
      <c r="E167" s="23" t="s">
        <v>0</v>
      </c>
      <c r="F167" s="103"/>
      <c r="G167" s="23" t="s">
        <v>0</v>
      </c>
    </row>
    <row r="168" spans="1:8" s="4" customFormat="1" x14ac:dyDescent="0.25">
      <c r="C168" s="23"/>
      <c r="D168" s="103"/>
      <c r="E168" s="23"/>
      <c r="F168" s="103"/>
      <c r="G168" s="23"/>
    </row>
    <row r="169" spans="1:8" s="4" customFormat="1" x14ac:dyDescent="0.25">
      <c r="B169" s="9" t="s">
        <v>72</v>
      </c>
      <c r="C169" s="23">
        <v>39600</v>
      </c>
      <c r="D169" s="103"/>
      <c r="E169" s="23">
        <f>39600+5000</f>
        <v>44600</v>
      </c>
      <c r="F169" s="103"/>
      <c r="G169" s="23">
        <f>C169-E169</f>
        <v>-5000</v>
      </c>
    </row>
    <row r="170" spans="1:8" s="4" customFormat="1" x14ac:dyDescent="0.25">
      <c r="B170" s="7" t="s">
        <v>73</v>
      </c>
      <c r="C170" s="23">
        <f>111100+50000-50000</f>
        <v>111100</v>
      </c>
      <c r="D170" s="103"/>
      <c r="E170" s="23">
        <f>111100+50000-5000</f>
        <v>156100</v>
      </c>
      <c r="F170" s="103"/>
      <c r="G170" s="23">
        <f>C170-E170</f>
        <v>-45000</v>
      </c>
    </row>
    <row r="171" spans="1:8" s="4" customFormat="1" x14ac:dyDescent="0.25">
      <c r="A171" s="134"/>
      <c r="B171" s="4" t="s">
        <v>71</v>
      </c>
      <c r="C171" s="113">
        <f>39000-19500+9700</f>
        <v>29200</v>
      </c>
      <c r="D171" s="103"/>
      <c r="E171" s="113">
        <f>39000-19500+9700</f>
        <v>29200</v>
      </c>
      <c r="F171" s="103"/>
      <c r="G171" s="113">
        <f>C171-E171</f>
        <v>0</v>
      </c>
    </row>
    <row r="172" spans="1:8" s="4" customFormat="1" x14ac:dyDescent="0.25">
      <c r="B172" s="7" t="s">
        <v>74</v>
      </c>
      <c r="C172" s="112">
        <f>257100+5100-5100</f>
        <v>257100</v>
      </c>
      <c r="D172" s="103"/>
      <c r="E172" s="112">
        <f>257100+5100-5100</f>
        <v>257100</v>
      </c>
      <c r="F172" s="103"/>
      <c r="G172" s="112">
        <f>C172-E172</f>
        <v>0</v>
      </c>
    </row>
    <row r="173" spans="1:8" s="4" customFormat="1" x14ac:dyDescent="0.25">
      <c r="C173" s="103"/>
      <c r="D173" s="103"/>
      <c r="E173" s="103"/>
      <c r="F173" s="103"/>
      <c r="G173" s="103"/>
    </row>
    <row r="174" spans="1:8" s="4" customFormat="1" x14ac:dyDescent="0.25">
      <c r="B174" s="13" t="s">
        <v>67</v>
      </c>
      <c r="C174" s="113">
        <f>SUM(C169:C172)</f>
        <v>437000</v>
      </c>
      <c r="D174" s="114"/>
      <c r="E174" s="113">
        <f>SUM(E169:E172)</f>
        <v>487000</v>
      </c>
      <c r="F174" s="114"/>
      <c r="G174" s="113">
        <f>C174-E174</f>
        <v>-50000</v>
      </c>
    </row>
    <row r="175" spans="1:8" s="4" customFormat="1" x14ac:dyDescent="0.25">
      <c r="C175" s="103"/>
      <c r="D175" s="103"/>
      <c r="E175" s="103"/>
      <c r="F175" s="103"/>
      <c r="G175" s="103"/>
    </row>
    <row r="176" spans="1:8" s="1" customFormat="1" x14ac:dyDescent="0.25">
      <c r="A176" s="4"/>
      <c r="B176" s="4" t="s">
        <v>185</v>
      </c>
      <c r="C176" s="103">
        <v>0</v>
      </c>
      <c r="D176" s="103"/>
      <c r="E176" s="103">
        <v>50000</v>
      </c>
      <c r="F176" s="103"/>
      <c r="G176" s="113">
        <f>E176-C176</f>
        <v>50000</v>
      </c>
      <c r="H176" s="4"/>
    </row>
    <row r="177" spans="1:8" s="1" customFormat="1" x14ac:dyDescent="0.25">
      <c r="A177" s="134"/>
      <c r="B177" s="4" t="s">
        <v>167</v>
      </c>
      <c r="C177" s="128">
        <v>20000</v>
      </c>
      <c r="D177" s="114"/>
      <c r="E177" s="128">
        <v>20000</v>
      </c>
      <c r="F177" s="114"/>
      <c r="G177" s="112">
        <f>E177-C177</f>
        <v>0</v>
      </c>
    </row>
    <row r="178" spans="1:8" s="4" customFormat="1" x14ac:dyDescent="0.25">
      <c r="A178" s="134"/>
      <c r="C178" s="113">
        <f>SUM(C176:C177)</f>
        <v>20000</v>
      </c>
      <c r="D178" s="114"/>
      <c r="E178" s="113">
        <f>SUM(E176:E177)</f>
        <v>70000</v>
      </c>
      <c r="F178" s="114"/>
      <c r="G178" s="113">
        <f>SUM(G176:G177)</f>
        <v>50000</v>
      </c>
      <c r="H178" s="1"/>
    </row>
    <row r="179" spans="1:8" s="1" customFormat="1" x14ac:dyDescent="0.25">
      <c r="A179" s="4"/>
      <c r="B179" s="4"/>
      <c r="C179" s="103"/>
      <c r="D179" s="103"/>
      <c r="E179" s="103"/>
      <c r="F179" s="103"/>
      <c r="G179" s="103"/>
      <c r="H179" s="4"/>
    </row>
    <row r="180" spans="1:8" s="1" customFormat="1" x14ac:dyDescent="0.25">
      <c r="C180" s="109"/>
      <c r="D180" s="114"/>
      <c r="E180" s="109"/>
      <c r="F180" s="114"/>
      <c r="G180" s="109"/>
    </row>
    <row r="181" spans="1:8" s="1" customFormat="1" x14ac:dyDescent="0.25">
      <c r="B181" s="11" t="s">
        <v>55</v>
      </c>
      <c r="C181" s="113">
        <f>C174-C178</f>
        <v>417000</v>
      </c>
      <c r="D181" s="115"/>
      <c r="E181" s="113">
        <f>E174-E178</f>
        <v>417000</v>
      </c>
      <c r="F181" s="114"/>
      <c r="G181" s="113">
        <f>C181-E181</f>
        <v>0</v>
      </c>
    </row>
    <row r="182" spans="1:8" s="4" customFormat="1" ht="18.75" thickBot="1" x14ac:dyDescent="0.3">
      <c r="A182" s="1"/>
      <c r="B182" s="1"/>
      <c r="C182" s="110"/>
      <c r="D182" s="114"/>
      <c r="E182" s="110"/>
      <c r="F182" s="114"/>
      <c r="G182" s="110"/>
      <c r="H182" s="1"/>
    </row>
    <row r="183" spans="1:8" s="4" customFormat="1" ht="18.75" thickTop="1" x14ac:dyDescent="0.25">
      <c r="A183" s="134"/>
      <c r="C183" s="113"/>
      <c r="D183" s="103"/>
      <c r="E183" s="113"/>
      <c r="F183" s="103"/>
      <c r="G183" s="113"/>
    </row>
    <row r="184" spans="1:8" x14ac:dyDescent="0.25">
      <c r="A184" s="134"/>
      <c r="B184" s="4"/>
      <c r="C184" s="113"/>
      <c r="D184" s="103"/>
      <c r="E184" s="113"/>
      <c r="F184" s="103"/>
      <c r="G184" s="113"/>
      <c r="H184" s="4"/>
    </row>
    <row r="185" spans="1:8" x14ac:dyDescent="0.25">
      <c r="C185" s="24"/>
      <c r="D185" s="24"/>
      <c r="E185" s="24"/>
      <c r="G185" s="24"/>
    </row>
    <row r="186" spans="1:8" ht="27.75" x14ac:dyDescent="0.25">
      <c r="B186" s="217" t="s">
        <v>31</v>
      </c>
      <c r="C186" s="218"/>
      <c r="D186" s="218"/>
      <c r="E186" s="218"/>
      <c r="F186" s="218"/>
      <c r="G186" s="219"/>
    </row>
    <row r="187" spans="1:8" x14ac:dyDescent="0.25">
      <c r="B187" s="4"/>
      <c r="C187" s="24"/>
      <c r="D187" s="103"/>
      <c r="E187" s="24"/>
      <c r="F187" s="103"/>
      <c r="G187" s="24"/>
    </row>
    <row r="188" spans="1:8" x14ac:dyDescent="0.25">
      <c r="B188" s="4"/>
      <c r="C188" s="24"/>
      <c r="D188" s="103"/>
      <c r="E188" s="24"/>
      <c r="F188" s="103"/>
      <c r="G188" s="24"/>
    </row>
    <row r="189" spans="1:8" x14ac:dyDescent="0.25">
      <c r="B189" s="5"/>
      <c r="C189" s="104" t="s">
        <v>200</v>
      </c>
      <c r="D189" s="103"/>
      <c r="E189" s="104" t="s">
        <v>212</v>
      </c>
      <c r="F189" s="103"/>
      <c r="G189" s="52"/>
    </row>
    <row r="190" spans="1:8" x14ac:dyDescent="0.25">
      <c r="B190" s="4"/>
      <c r="C190" s="105" t="s">
        <v>95</v>
      </c>
      <c r="D190" s="103"/>
      <c r="E190" s="105" t="s">
        <v>40</v>
      </c>
      <c r="F190" s="103"/>
      <c r="G190" s="61" t="s">
        <v>41</v>
      </c>
    </row>
    <row r="191" spans="1:8" x14ac:dyDescent="0.25">
      <c r="B191" s="4"/>
      <c r="C191" s="106" t="s">
        <v>42</v>
      </c>
      <c r="D191" s="103"/>
      <c r="E191" s="106" t="s">
        <v>42</v>
      </c>
      <c r="F191" s="103"/>
      <c r="G191" s="62" t="s">
        <v>28</v>
      </c>
    </row>
    <row r="192" spans="1:8" x14ac:dyDescent="0.25">
      <c r="B192" s="4"/>
      <c r="C192" s="23"/>
      <c r="D192" s="103"/>
      <c r="E192" s="23"/>
      <c r="F192" s="103"/>
      <c r="G192" s="23"/>
    </row>
    <row r="193" spans="2:7" x14ac:dyDescent="0.25">
      <c r="B193" s="11" t="s">
        <v>183</v>
      </c>
      <c r="C193" s="23" t="s">
        <v>0</v>
      </c>
      <c r="D193" s="103"/>
      <c r="E193" s="23" t="s">
        <v>0</v>
      </c>
      <c r="F193" s="103"/>
      <c r="G193" s="23" t="s">
        <v>0</v>
      </c>
    </row>
    <row r="194" spans="2:7" x14ac:dyDescent="0.25">
      <c r="B194" s="4"/>
      <c r="C194" s="23"/>
      <c r="D194" s="103"/>
      <c r="E194" s="23"/>
      <c r="F194" s="103"/>
      <c r="G194" s="23"/>
    </row>
    <row r="195" spans="2:7" x14ac:dyDescent="0.25">
      <c r="B195" s="4" t="s">
        <v>6</v>
      </c>
      <c r="C195" s="113">
        <v>35000</v>
      </c>
      <c r="D195" s="103"/>
      <c r="E195" s="113">
        <f>35000+55600-48000+2200</f>
        <v>44800</v>
      </c>
      <c r="F195" s="103"/>
      <c r="G195" s="113">
        <f>C195-E195</f>
        <v>-9800</v>
      </c>
    </row>
    <row r="196" spans="2:7" x14ac:dyDescent="0.25">
      <c r="B196" s="7" t="s">
        <v>56</v>
      </c>
      <c r="C196" s="112">
        <v>65000</v>
      </c>
      <c r="D196" s="103"/>
      <c r="E196" s="112">
        <f>65000-7600-2200</f>
        <v>55200</v>
      </c>
      <c r="F196" s="103"/>
      <c r="G196" s="112">
        <f>C196-E196</f>
        <v>9800</v>
      </c>
    </row>
    <row r="197" spans="2:7" x14ac:dyDescent="0.25">
      <c r="B197" s="4"/>
      <c r="C197" s="103"/>
      <c r="D197" s="103"/>
      <c r="E197" s="103"/>
      <c r="F197" s="103"/>
      <c r="G197" s="103"/>
    </row>
    <row r="198" spans="2:7" x14ac:dyDescent="0.25">
      <c r="B198" s="13" t="s">
        <v>67</v>
      </c>
      <c r="C198" s="113">
        <f>SUM(C195:C196)</f>
        <v>100000</v>
      </c>
      <c r="D198" s="114"/>
      <c r="E198" s="113">
        <f>SUM(E195:E196)</f>
        <v>100000</v>
      </c>
      <c r="F198" s="114"/>
      <c r="G198" s="113">
        <f>C198-E198</f>
        <v>0</v>
      </c>
    </row>
    <row r="199" spans="2:7" x14ac:dyDescent="0.25">
      <c r="B199" s="4"/>
      <c r="C199" s="103"/>
      <c r="D199" s="103"/>
      <c r="E199" s="103"/>
      <c r="F199" s="103"/>
      <c r="G199" s="103"/>
    </row>
    <row r="200" spans="2:7" x14ac:dyDescent="0.25">
      <c r="B200" s="4" t="s">
        <v>27</v>
      </c>
      <c r="C200" s="113">
        <v>100000</v>
      </c>
      <c r="D200" s="114"/>
      <c r="E200" s="113">
        <f>100000+50000-50000</f>
        <v>100000</v>
      </c>
      <c r="F200" s="114"/>
      <c r="G200" s="113">
        <f>E200-C200</f>
        <v>0</v>
      </c>
    </row>
    <row r="201" spans="2:7" x14ac:dyDescent="0.25">
      <c r="B201" s="4"/>
      <c r="C201" s="103"/>
      <c r="D201" s="103"/>
      <c r="E201" s="103"/>
      <c r="F201" s="103"/>
      <c r="G201" s="103"/>
    </row>
    <row r="202" spans="2:7" x14ac:dyDescent="0.25">
      <c r="B202" s="1"/>
      <c r="C202" s="109"/>
      <c r="D202" s="114"/>
      <c r="E202" s="109"/>
      <c r="F202" s="114"/>
      <c r="G202" s="109"/>
    </row>
    <row r="203" spans="2:7" x14ac:dyDescent="0.25">
      <c r="B203" s="11" t="s">
        <v>55</v>
      </c>
      <c r="C203" s="113">
        <f>C198-C200</f>
        <v>0</v>
      </c>
      <c r="D203" s="115"/>
      <c r="E203" s="113">
        <f>E198-E200</f>
        <v>0</v>
      </c>
      <c r="F203" s="114"/>
      <c r="G203" s="113">
        <f>C203-E203</f>
        <v>0</v>
      </c>
    </row>
    <row r="204" spans="2:7" ht="18.75" thickBot="1" x14ac:dyDescent="0.3">
      <c r="B204" s="1"/>
      <c r="C204" s="110"/>
      <c r="D204" s="114"/>
      <c r="E204" s="110"/>
      <c r="F204" s="114"/>
      <c r="G204" s="110"/>
    </row>
    <row r="205" spans="2:7" ht="18.75" thickTop="1" x14ac:dyDescent="0.25"/>
  </sheetData>
  <customSheetViews>
    <customSheetView guid="{CA1631C2-F325-11D6-AB9C-00B0D0BAF716}" scale="70" showPageBreaks="1" printArea="1" hiddenColumns="1" showRuler="0" topLeftCell="A319">
      <selection activeCell="L38" sqref="L38"/>
      <rowBreaks count="6" manualBreakCount="6">
        <brk id="43" max="16383" man="1"/>
        <brk id="81" max="16383" man="1"/>
        <brk id="139" max="16383" man="1"/>
        <brk id="193" max="16383" man="1"/>
        <brk id="243" max="16383" man="1"/>
        <brk id="301" max="16383" man="1"/>
      </rowBreaks>
      <pageMargins left="0.43307086614173229" right="0.39370078740157483" top="0.98425196850393704" bottom="0.98425196850393704" header="0.51181102362204722" footer="0.51181102362204722"/>
      <pageSetup paperSize="9" scale="61" firstPageNumber="26" orientation="portrait" useFirstPageNumber="1" r:id="rId1"/>
      <headerFooter alignWithMargins="0">
        <oddHeader>&amp;L&amp;14PORTFOLIO HOLDER  REBECCA FOY MORRIS BRIGHT&amp;R&amp;14BUDGET HOLDER  DAVID ASHLEE</oddHeader>
        <oddFooter>&amp;C&amp;18&amp;P</oddFooter>
      </headerFooter>
    </customSheetView>
    <customSheetView guid="{061CE440-224A-11D7-AABC-0050DA1BA6DB}" scale="70" showRuler="0">
      <selection activeCell="M14" sqref="M14"/>
      <rowBreaks count="7" manualBreakCount="7">
        <brk id="42" max="11" man="1"/>
        <brk id="79" max="16383" man="1"/>
        <brk id="130" max="16383" man="1"/>
        <brk id="160" max="16383" man="1"/>
        <brk id="216" max="16383" man="1"/>
        <brk id="251" max="16383" man="1"/>
        <brk id="298" max="11" man="1"/>
      </rowBreaks>
      <pageMargins left="0.43307086614173229" right="0.39370078740157483" top="0.98425196850393704" bottom="0.98425196850393704" header="0.51181102362204722" footer="0.51181102362204722"/>
      <pageSetup paperSize="9" scale="63" firstPageNumber="25" orientation="portrait" useFirstPageNumber="1" r:id="rId2"/>
      <headerFooter alignWithMargins="0">
        <oddHeader>&amp;R&amp;18APPENDIX B</oddHeader>
        <oddFooter>&amp;C&amp;18&amp;P</oddFooter>
      </headerFooter>
    </customSheetView>
  </customSheetViews>
  <mergeCells count="11">
    <mergeCell ref="B2:G2"/>
    <mergeCell ref="B33:G33"/>
    <mergeCell ref="B58:G58"/>
    <mergeCell ref="B77:G77"/>
    <mergeCell ref="B94:G94"/>
    <mergeCell ref="B186:G186"/>
    <mergeCell ref="B114:G114"/>
    <mergeCell ref="B160:G160"/>
    <mergeCell ref="B136:G136"/>
    <mergeCell ref="A97:B97"/>
    <mergeCell ref="A113:B113"/>
  </mergeCells>
  <phoneticPr fontId="0" type="noConversion"/>
  <pageMargins left="0.59055118110236227" right="0.19685039370078741" top="0.70866141732283472" bottom="1.3779527559055118" header="0.78740157480314965" footer="0.59055118110236227"/>
  <pageSetup paperSize="9" scale="55" firstPageNumber="8" orientation="portrait" useFirstPageNumber="1" r:id="rId3"/>
  <headerFooter alignWithMargins="0">
    <oddFooter>&amp;C&amp;18&amp;P</oddFooter>
  </headerFooter>
  <rowBreaks count="4" manualBreakCount="4">
    <brk id="31" max="7" man="1"/>
    <brk id="75" max="7" man="1"/>
    <brk id="111" max="16383" man="1"/>
    <brk id="15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H163"/>
  <sheetViews>
    <sheetView zoomScale="80" zoomScaleNormal="80" workbookViewId="0">
      <selection activeCell="O16" sqref="O16"/>
    </sheetView>
  </sheetViews>
  <sheetFormatPr defaultColWidth="9.28515625" defaultRowHeight="18" x14ac:dyDescent="0.25"/>
  <cols>
    <col min="1" max="1" width="9.7109375" style="4" customWidth="1"/>
    <col min="2" max="2" width="57" style="4" customWidth="1"/>
    <col min="3" max="3" width="16.7109375" style="24" customWidth="1"/>
    <col min="4" max="4" width="10.28515625" style="103" customWidth="1"/>
    <col min="5" max="5" width="16.7109375" style="24" customWidth="1"/>
    <col min="6" max="6" width="10.28515625" style="103" customWidth="1"/>
    <col min="7" max="7" width="16.7109375" style="103" customWidth="1"/>
    <col min="8" max="8" width="10.28515625" style="103" customWidth="1"/>
    <col min="9" max="16384" width="9.28515625" style="4"/>
  </cols>
  <sheetData>
    <row r="1" spans="1:7" x14ac:dyDescent="0.25">
      <c r="A1" s="163"/>
      <c r="C1" s="102"/>
      <c r="E1" s="102"/>
      <c r="G1" s="114"/>
    </row>
    <row r="2" spans="1:7" ht="40.5" customHeight="1" x14ac:dyDescent="0.25">
      <c r="B2" s="221" t="s">
        <v>22</v>
      </c>
      <c r="C2" s="222"/>
      <c r="D2" s="222"/>
      <c r="E2" s="222"/>
      <c r="F2" s="222"/>
      <c r="G2" s="223"/>
    </row>
    <row r="5" spans="1:7" x14ac:dyDescent="0.25">
      <c r="A5" s="5"/>
      <c r="B5" s="26"/>
      <c r="C5" s="104" t="s">
        <v>200</v>
      </c>
      <c r="E5" s="104" t="s">
        <v>212</v>
      </c>
      <c r="G5" s="52"/>
    </row>
    <row r="6" spans="1:7" x14ac:dyDescent="0.25">
      <c r="C6" s="105" t="s">
        <v>95</v>
      </c>
      <c r="E6" s="105" t="s">
        <v>40</v>
      </c>
      <c r="G6" s="61" t="s">
        <v>41</v>
      </c>
    </row>
    <row r="7" spans="1:7" x14ac:dyDescent="0.25">
      <c r="C7" s="106" t="s">
        <v>42</v>
      </c>
      <c r="E7" s="106" t="s">
        <v>42</v>
      </c>
      <c r="G7" s="62" t="s">
        <v>28</v>
      </c>
    </row>
    <row r="8" spans="1:7" x14ac:dyDescent="0.25">
      <c r="C8" s="23"/>
      <c r="E8" s="23"/>
      <c r="G8" s="12"/>
    </row>
    <row r="9" spans="1:7" ht="20.25" x14ac:dyDescent="0.3">
      <c r="B9" s="118" t="s">
        <v>54</v>
      </c>
      <c r="C9" s="23" t="s">
        <v>0</v>
      </c>
      <c r="E9" s="23" t="s">
        <v>0</v>
      </c>
      <c r="G9" s="12" t="s">
        <v>0</v>
      </c>
    </row>
    <row r="10" spans="1:7" ht="20.25" x14ac:dyDescent="0.3">
      <c r="B10" s="121"/>
      <c r="C10" s="23"/>
      <c r="E10" s="23"/>
      <c r="G10" s="12"/>
    </row>
    <row r="11" spans="1:7" ht="20.25" x14ac:dyDescent="0.3">
      <c r="B11" s="121" t="s">
        <v>96</v>
      </c>
      <c r="C11" s="23">
        <f>C54</f>
        <v>-198200</v>
      </c>
      <c r="E11" s="23">
        <f>E54</f>
        <v>-223400</v>
      </c>
      <c r="G11" s="103">
        <f>C11-E11</f>
        <v>25200</v>
      </c>
    </row>
    <row r="12" spans="1:7" ht="20.25" x14ac:dyDescent="0.3">
      <c r="B12" s="121"/>
      <c r="C12" s="23"/>
      <c r="E12" s="23"/>
    </row>
    <row r="13" spans="1:7" ht="20.25" x14ac:dyDescent="0.3">
      <c r="B13" s="121" t="s">
        <v>16</v>
      </c>
      <c r="C13" s="23">
        <f>C92</f>
        <v>26700</v>
      </c>
      <c r="D13" s="23"/>
      <c r="E13" s="23">
        <f>E92</f>
        <v>28400</v>
      </c>
      <c r="G13" s="103">
        <f>C13-E13</f>
        <v>-1700</v>
      </c>
    </row>
    <row r="14" spans="1:7" ht="20.25" x14ac:dyDescent="0.3">
      <c r="B14" s="121"/>
      <c r="C14" s="23"/>
      <c r="E14" s="23"/>
      <c r="G14" s="12"/>
    </row>
    <row r="15" spans="1:7" ht="20.25" x14ac:dyDescent="0.3">
      <c r="B15" s="121" t="s">
        <v>97</v>
      </c>
      <c r="C15" s="23">
        <f>C72</f>
        <v>9000</v>
      </c>
      <c r="D15" s="23"/>
      <c r="E15" s="23">
        <f>E72</f>
        <v>7700</v>
      </c>
      <c r="G15" s="103">
        <f>C15-E15</f>
        <v>1300</v>
      </c>
    </row>
    <row r="16" spans="1:7" ht="20.25" x14ac:dyDescent="0.3">
      <c r="B16" s="121"/>
      <c r="C16" s="23"/>
      <c r="E16" s="23"/>
    </row>
    <row r="17" spans="1:7" ht="20.25" x14ac:dyDescent="0.3">
      <c r="B17" s="121" t="s">
        <v>98</v>
      </c>
      <c r="C17" s="23">
        <f>C110</f>
        <v>100000</v>
      </c>
      <c r="E17" s="23">
        <f>E110</f>
        <v>101800</v>
      </c>
      <c r="G17" s="103">
        <f>C17-E17</f>
        <v>-1800</v>
      </c>
    </row>
    <row r="18" spans="1:7" ht="20.25" x14ac:dyDescent="0.3">
      <c r="B18" s="121"/>
      <c r="C18" s="23"/>
      <c r="E18" s="23"/>
    </row>
    <row r="19" spans="1:7" ht="20.25" x14ac:dyDescent="0.3">
      <c r="B19" s="121" t="s">
        <v>99</v>
      </c>
      <c r="C19" s="23">
        <f>C136</f>
        <v>1324500</v>
      </c>
      <c r="D19" s="23"/>
      <c r="E19" s="23">
        <f>E136</f>
        <v>1270900</v>
      </c>
      <c r="G19" s="103">
        <f>C19-E19</f>
        <v>53600</v>
      </c>
    </row>
    <row r="20" spans="1:7" ht="20.25" x14ac:dyDescent="0.3">
      <c r="B20" s="121"/>
      <c r="C20" s="23"/>
      <c r="D20" s="23"/>
      <c r="E20" s="23"/>
    </row>
    <row r="21" spans="1:7" ht="20.25" x14ac:dyDescent="0.3">
      <c r="B21" s="121" t="s">
        <v>209</v>
      </c>
      <c r="C21" s="23">
        <f>C161</f>
        <v>2600</v>
      </c>
      <c r="D21" s="23"/>
      <c r="E21" s="23">
        <f t="shared" ref="E21" si="0">E161</f>
        <v>7300</v>
      </c>
      <c r="G21" s="103">
        <f t="shared" ref="G21" si="1">C21-E21</f>
        <v>-4700</v>
      </c>
    </row>
    <row r="22" spans="1:7" ht="20.25" x14ac:dyDescent="0.3">
      <c r="B22" s="121"/>
      <c r="C22" s="23"/>
      <c r="E22" s="23"/>
    </row>
    <row r="23" spans="1:7" ht="20.25" x14ac:dyDescent="0.3">
      <c r="B23" s="187"/>
      <c r="C23" s="109"/>
      <c r="E23" s="109"/>
      <c r="G23" s="184"/>
    </row>
    <row r="24" spans="1:7" ht="20.25" x14ac:dyDescent="0.3">
      <c r="B24" s="117" t="s">
        <v>55</v>
      </c>
      <c r="C24" s="23">
        <f>SUM(C11:C21)</f>
        <v>1264600</v>
      </c>
      <c r="E24" s="23">
        <f>SUM(E11:E21)</f>
        <v>1192700</v>
      </c>
      <c r="G24" s="23">
        <f>SUM(G11:G21)</f>
        <v>71900</v>
      </c>
    </row>
    <row r="25" spans="1:7" ht="18.75" thickBot="1" x14ac:dyDescent="0.3">
      <c r="A25" s="6"/>
      <c r="B25" s="6"/>
      <c r="C25" s="116"/>
      <c r="E25" s="116"/>
      <c r="G25" s="174"/>
    </row>
    <row r="26" spans="1:7" ht="27" thickTop="1" x14ac:dyDescent="0.35">
      <c r="A26" s="183"/>
      <c r="B26" s="6"/>
      <c r="C26" s="102"/>
      <c r="E26" s="102"/>
      <c r="G26" s="114"/>
    </row>
    <row r="27" spans="1:7" ht="40.5" customHeight="1" x14ac:dyDescent="0.25">
      <c r="E27" s="23"/>
    </row>
    <row r="28" spans="1:7" ht="21" customHeight="1" x14ac:dyDescent="0.35">
      <c r="B28" s="183"/>
      <c r="C28" s="102"/>
      <c r="E28" s="102"/>
      <c r="G28" s="115"/>
    </row>
    <row r="29" spans="1:7" ht="27.75" x14ac:dyDescent="0.25">
      <c r="B29" s="221" t="s">
        <v>22</v>
      </c>
      <c r="C29" s="222"/>
      <c r="D29" s="222"/>
      <c r="E29" s="222"/>
      <c r="F29" s="222"/>
      <c r="G29" s="223"/>
    </row>
    <row r="30" spans="1:7" ht="27.75" x14ac:dyDescent="0.25">
      <c r="A30" s="5"/>
      <c r="B30" s="186"/>
      <c r="C30" s="186"/>
      <c r="D30" s="186"/>
      <c r="E30" s="186"/>
      <c r="F30" s="186"/>
      <c r="G30" s="186"/>
    </row>
    <row r="31" spans="1:7" x14ac:dyDescent="0.25">
      <c r="G31" s="114"/>
    </row>
    <row r="32" spans="1:7" x14ac:dyDescent="0.25">
      <c r="B32" s="26"/>
      <c r="C32" s="104" t="s">
        <v>200</v>
      </c>
      <c r="E32" s="104" t="s">
        <v>212</v>
      </c>
      <c r="G32" s="52"/>
    </row>
    <row r="33" spans="1:7" x14ac:dyDescent="0.25">
      <c r="B33" s="3"/>
      <c r="C33" s="105" t="s">
        <v>95</v>
      </c>
      <c r="E33" s="105" t="s">
        <v>40</v>
      </c>
      <c r="G33" s="61" t="s">
        <v>41</v>
      </c>
    </row>
    <row r="34" spans="1:7" x14ac:dyDescent="0.25">
      <c r="C34" s="106" t="s">
        <v>42</v>
      </c>
      <c r="E34" s="106" t="s">
        <v>42</v>
      </c>
      <c r="G34" s="62" t="s">
        <v>28</v>
      </c>
    </row>
    <row r="35" spans="1:7" x14ac:dyDescent="0.25">
      <c r="C35" s="23"/>
      <c r="E35" s="23"/>
      <c r="G35" s="12"/>
    </row>
    <row r="36" spans="1:7" ht="20.25" x14ac:dyDescent="0.3">
      <c r="B36" s="118" t="s">
        <v>96</v>
      </c>
      <c r="C36" s="23" t="s">
        <v>0</v>
      </c>
      <c r="E36" s="23" t="s">
        <v>0</v>
      </c>
      <c r="G36" s="12" t="s">
        <v>0</v>
      </c>
    </row>
    <row r="37" spans="1:7" x14ac:dyDescent="0.25">
      <c r="C37" s="23"/>
      <c r="E37" s="23"/>
      <c r="G37" s="12"/>
    </row>
    <row r="38" spans="1:7" x14ac:dyDescent="0.25">
      <c r="B38" s="4" t="s">
        <v>83</v>
      </c>
      <c r="C38" s="23">
        <v>2900</v>
      </c>
      <c r="E38" s="23">
        <f>2900-1300</f>
        <v>1600</v>
      </c>
      <c r="G38" s="103">
        <f>C38-E38</f>
        <v>1300</v>
      </c>
    </row>
    <row r="39" spans="1:7" x14ac:dyDescent="0.25">
      <c r="B39" s="4" t="s">
        <v>25</v>
      </c>
      <c r="C39" s="23">
        <v>1000</v>
      </c>
      <c r="E39" s="23">
        <f>1000+600</f>
        <v>1600</v>
      </c>
      <c r="G39" s="103">
        <f>C39-E39</f>
        <v>-600</v>
      </c>
    </row>
    <row r="40" spans="1:7" x14ac:dyDescent="0.25">
      <c r="B40" s="4" t="s">
        <v>56</v>
      </c>
      <c r="C40" s="23">
        <v>16900</v>
      </c>
      <c r="E40" s="23">
        <f>16900+22000</f>
        <v>38900</v>
      </c>
      <c r="G40" s="103">
        <f>C40-E40</f>
        <v>-22000</v>
      </c>
    </row>
    <row r="41" spans="1:7" x14ac:dyDescent="0.25">
      <c r="B41" s="4" t="s">
        <v>57</v>
      </c>
      <c r="C41" s="23">
        <v>23500</v>
      </c>
      <c r="E41" s="23">
        <f>23500-1000</f>
        <v>22500</v>
      </c>
      <c r="G41" s="103">
        <f>C41-E41</f>
        <v>1000</v>
      </c>
    </row>
    <row r="42" spans="1:7" x14ac:dyDescent="0.25">
      <c r="B42" s="4" t="s">
        <v>70</v>
      </c>
      <c r="C42" s="23">
        <v>3000</v>
      </c>
      <c r="E42" s="23">
        <f>3000</f>
        <v>3000</v>
      </c>
      <c r="G42" s="24">
        <f>C42-E42</f>
        <v>0</v>
      </c>
    </row>
    <row r="43" spans="1:7" x14ac:dyDescent="0.25">
      <c r="A43" s="6"/>
      <c r="C43" s="112"/>
      <c r="E43" s="112"/>
      <c r="G43" s="112"/>
    </row>
    <row r="44" spans="1:7" x14ac:dyDescent="0.25">
      <c r="A44" s="6"/>
      <c r="C44" s="113"/>
      <c r="E44" s="113"/>
      <c r="G44" s="113"/>
    </row>
    <row r="45" spans="1:7" x14ac:dyDescent="0.25">
      <c r="A45" s="6"/>
      <c r="B45" s="6" t="s">
        <v>67</v>
      </c>
      <c r="C45" s="23">
        <f>SUM(C38:C43)</f>
        <v>47300</v>
      </c>
      <c r="E45" s="23">
        <f>SUM(E38:E43)</f>
        <v>67600</v>
      </c>
      <c r="G45" s="23">
        <f>SUM(G38:G43)</f>
        <v>-20300</v>
      </c>
    </row>
    <row r="46" spans="1:7" x14ac:dyDescent="0.25">
      <c r="B46" s="6"/>
      <c r="C46" s="23"/>
      <c r="E46" s="23"/>
      <c r="G46" s="23"/>
    </row>
    <row r="47" spans="1:7" x14ac:dyDescent="0.25">
      <c r="A47" s="18"/>
      <c r="B47" s="6"/>
      <c r="C47" s="23"/>
      <c r="D47" s="12"/>
      <c r="E47" s="23"/>
      <c r="G47" s="23"/>
    </row>
    <row r="48" spans="1:7" x14ac:dyDescent="0.25">
      <c r="A48" s="18"/>
      <c r="B48" s="4" t="s">
        <v>26</v>
      </c>
      <c r="C48" s="23">
        <v>245500</v>
      </c>
      <c r="E48" s="23">
        <f>245500+40000+5500</f>
        <v>291000</v>
      </c>
      <c r="G48" s="103">
        <f>C48-E48</f>
        <v>-45500</v>
      </c>
    </row>
    <row r="49" spans="1:8" x14ac:dyDescent="0.25">
      <c r="A49" s="8"/>
      <c r="B49" s="20"/>
      <c r="C49" s="23"/>
      <c r="E49" s="23"/>
      <c r="G49" s="103">
        <f>C49-E49</f>
        <v>0</v>
      </c>
    </row>
    <row r="50" spans="1:8" x14ac:dyDescent="0.25">
      <c r="A50" s="6"/>
      <c r="B50" s="18"/>
      <c r="C50" s="109"/>
      <c r="E50" s="109"/>
      <c r="G50" s="109"/>
    </row>
    <row r="51" spans="1:8" x14ac:dyDescent="0.25">
      <c r="A51" s="6"/>
      <c r="B51" s="13" t="s">
        <v>58</v>
      </c>
      <c r="C51" s="113">
        <f>SUM(C48:C49)</f>
        <v>245500</v>
      </c>
      <c r="D51" s="114"/>
      <c r="E51" s="113">
        <f>SUM(E48:E49)</f>
        <v>291000</v>
      </c>
      <c r="F51" s="114"/>
      <c r="G51" s="113">
        <f>E51-C51</f>
        <v>45500</v>
      </c>
    </row>
    <row r="52" spans="1:8" x14ac:dyDescent="0.25">
      <c r="A52" s="6"/>
      <c r="B52" s="1"/>
      <c r="C52" s="113"/>
      <c r="E52" s="113"/>
      <c r="G52" s="159"/>
    </row>
    <row r="53" spans="1:8" s="6" customFormat="1" x14ac:dyDescent="0.25">
      <c r="B53" s="1"/>
      <c r="C53" s="109"/>
      <c r="D53" s="103"/>
      <c r="E53" s="109"/>
      <c r="F53" s="103"/>
      <c r="G53" s="12"/>
      <c r="H53" s="12"/>
    </row>
    <row r="54" spans="1:8" x14ac:dyDescent="0.25">
      <c r="A54" s="6"/>
      <c r="B54" s="11" t="s">
        <v>55</v>
      </c>
      <c r="C54" s="23">
        <f>C45-C51</f>
        <v>-198200</v>
      </c>
      <c r="E54" s="23">
        <f>E45-E51</f>
        <v>-223400</v>
      </c>
      <c r="G54" s="12">
        <f>C54-E54</f>
        <v>25200</v>
      </c>
    </row>
    <row r="55" spans="1:8" ht="18.75" thickBot="1" x14ac:dyDescent="0.3">
      <c r="B55" s="6"/>
      <c r="C55" s="113"/>
      <c r="E55" s="113"/>
      <c r="F55" s="12"/>
      <c r="G55" s="115"/>
    </row>
    <row r="56" spans="1:8" ht="18.75" thickTop="1" x14ac:dyDescent="0.25">
      <c r="C56" s="179"/>
      <c r="D56" s="12"/>
      <c r="E56" s="179"/>
      <c r="G56" s="185"/>
    </row>
    <row r="57" spans="1:8" ht="40.5" customHeight="1" x14ac:dyDescent="0.25">
      <c r="B57" s="6"/>
      <c r="C57" s="113"/>
      <c r="E57" s="113"/>
      <c r="G57" s="115"/>
    </row>
    <row r="58" spans="1:8" ht="24" customHeight="1" x14ac:dyDescent="0.25">
      <c r="B58" s="6"/>
      <c r="C58" s="113"/>
      <c r="E58" s="113"/>
      <c r="G58" s="115"/>
    </row>
    <row r="59" spans="1:8" ht="27.75" x14ac:dyDescent="0.25">
      <c r="B59" s="221" t="s">
        <v>22</v>
      </c>
      <c r="C59" s="222"/>
      <c r="D59" s="222"/>
      <c r="E59" s="222"/>
      <c r="F59" s="222"/>
      <c r="G59" s="223"/>
    </row>
    <row r="60" spans="1:8" ht="27.75" x14ac:dyDescent="0.25">
      <c r="B60" s="186"/>
      <c r="C60" s="186"/>
      <c r="D60" s="186"/>
      <c r="E60" s="186"/>
      <c r="F60" s="186"/>
      <c r="G60" s="186"/>
    </row>
    <row r="62" spans="1:8" x14ac:dyDescent="0.25">
      <c r="B62" s="26"/>
      <c r="C62" s="104" t="s">
        <v>200</v>
      </c>
      <c r="E62" s="104" t="s">
        <v>212</v>
      </c>
      <c r="G62" s="52"/>
    </row>
    <row r="63" spans="1:8" x14ac:dyDescent="0.25">
      <c r="C63" s="105" t="s">
        <v>95</v>
      </c>
      <c r="E63" s="105" t="s">
        <v>40</v>
      </c>
      <c r="G63" s="61" t="s">
        <v>41</v>
      </c>
    </row>
    <row r="64" spans="1:8" x14ac:dyDescent="0.25">
      <c r="C64" s="106" t="s">
        <v>42</v>
      </c>
      <c r="E64" s="106" t="s">
        <v>42</v>
      </c>
      <c r="G64" s="62" t="s">
        <v>28</v>
      </c>
    </row>
    <row r="65" spans="1:7" x14ac:dyDescent="0.25">
      <c r="C65" s="23"/>
      <c r="E65" s="23"/>
      <c r="G65" s="12"/>
    </row>
    <row r="66" spans="1:7" ht="20.25" x14ac:dyDescent="0.3">
      <c r="B66" s="150" t="s">
        <v>97</v>
      </c>
      <c r="C66" s="23" t="s">
        <v>0</v>
      </c>
      <c r="E66" s="23" t="s">
        <v>0</v>
      </c>
      <c r="G66" s="12" t="s">
        <v>0</v>
      </c>
    </row>
    <row r="67" spans="1:7" x14ac:dyDescent="0.25">
      <c r="B67" s="85"/>
      <c r="C67" s="23"/>
      <c r="E67" s="23"/>
      <c r="G67" s="12"/>
    </row>
    <row r="68" spans="1:7" x14ac:dyDescent="0.25">
      <c r="C68" s="23"/>
      <c r="E68" s="23"/>
      <c r="G68" s="12"/>
    </row>
    <row r="69" spans="1:7" x14ac:dyDescent="0.25">
      <c r="B69" s="4" t="s">
        <v>56</v>
      </c>
      <c r="C69" s="23">
        <f>12000-3000</f>
        <v>9000</v>
      </c>
      <c r="E69" s="23">
        <f>9000-1300</f>
        <v>7700</v>
      </c>
      <c r="F69" s="12"/>
      <c r="G69" s="12">
        <f>C69-E69</f>
        <v>1300</v>
      </c>
    </row>
    <row r="70" spans="1:7" x14ac:dyDescent="0.25">
      <c r="C70" s="112"/>
      <c r="E70" s="112"/>
      <c r="G70" s="159"/>
    </row>
    <row r="71" spans="1:7" x14ac:dyDescent="0.25">
      <c r="C71" s="113"/>
      <c r="E71" s="113"/>
      <c r="G71" s="115"/>
    </row>
    <row r="72" spans="1:7" x14ac:dyDescent="0.25">
      <c r="B72" s="11" t="s">
        <v>55</v>
      </c>
      <c r="C72" s="113">
        <f>SUM(C68:C70)</f>
        <v>9000</v>
      </c>
      <c r="E72" s="113">
        <f>SUM(E68:E70)</f>
        <v>7700</v>
      </c>
      <c r="G72" s="115">
        <f>SUM(G67:G70)</f>
        <v>1300</v>
      </c>
    </row>
    <row r="73" spans="1:7" ht="18.75" thickBot="1" x14ac:dyDescent="0.3">
      <c r="B73" s="6"/>
      <c r="C73" s="116"/>
      <c r="E73" s="116"/>
      <c r="G73" s="174"/>
    </row>
    <row r="74" spans="1:7" ht="27" thickTop="1" x14ac:dyDescent="0.35">
      <c r="A74" s="183"/>
      <c r="B74" s="6"/>
      <c r="C74" s="113"/>
      <c r="E74" s="113"/>
      <c r="G74" s="115"/>
    </row>
    <row r="75" spans="1:7" ht="40.5" customHeight="1" x14ac:dyDescent="0.25">
      <c r="B75" s="6"/>
      <c r="C75" s="113"/>
      <c r="E75" s="113"/>
      <c r="G75" s="115"/>
    </row>
    <row r="76" spans="1:7" ht="21" customHeight="1" x14ac:dyDescent="0.35">
      <c r="B76" s="183"/>
      <c r="C76" s="102"/>
      <c r="E76" s="102"/>
      <c r="G76" s="114"/>
    </row>
    <row r="77" spans="1:7" ht="27.75" x14ac:dyDescent="0.25">
      <c r="B77" s="221" t="s">
        <v>22</v>
      </c>
      <c r="C77" s="222"/>
      <c r="D77" s="222"/>
      <c r="E77" s="222"/>
      <c r="F77" s="222"/>
      <c r="G77" s="223"/>
    </row>
    <row r="78" spans="1:7" ht="27.75" x14ac:dyDescent="0.25">
      <c r="A78" s="5"/>
      <c r="B78" s="186"/>
      <c r="C78" s="186"/>
      <c r="D78" s="186"/>
      <c r="E78" s="186"/>
      <c r="F78" s="186"/>
      <c r="G78" s="186"/>
    </row>
    <row r="80" spans="1:7" x14ac:dyDescent="0.25">
      <c r="B80" s="26"/>
      <c r="C80" s="104" t="s">
        <v>200</v>
      </c>
      <c r="E80" s="104" t="s">
        <v>212</v>
      </c>
      <c r="G80" s="52"/>
    </row>
    <row r="81" spans="1:8" x14ac:dyDescent="0.25">
      <c r="C81" s="105" t="s">
        <v>95</v>
      </c>
      <c r="E81" s="105" t="s">
        <v>40</v>
      </c>
      <c r="G81" s="61" t="s">
        <v>41</v>
      </c>
    </row>
    <row r="82" spans="1:8" x14ac:dyDescent="0.25">
      <c r="C82" s="106" t="s">
        <v>42</v>
      </c>
      <c r="E82" s="106" t="s">
        <v>42</v>
      </c>
      <c r="G82" s="62" t="s">
        <v>28</v>
      </c>
    </row>
    <row r="83" spans="1:8" x14ac:dyDescent="0.25">
      <c r="C83" s="23"/>
      <c r="E83" s="23"/>
      <c r="G83" s="12"/>
    </row>
    <row r="84" spans="1:8" ht="20.25" x14ac:dyDescent="0.3">
      <c r="B84" s="150" t="s">
        <v>16</v>
      </c>
      <c r="C84" s="23" t="s">
        <v>0</v>
      </c>
      <c r="E84" s="23" t="s">
        <v>0</v>
      </c>
      <c r="G84" s="12" t="s">
        <v>0</v>
      </c>
    </row>
    <row r="85" spans="1:8" s="6" customFormat="1" x14ac:dyDescent="0.25">
      <c r="A85" s="4"/>
      <c r="B85" s="85"/>
      <c r="C85" s="23"/>
      <c r="D85" s="103"/>
      <c r="E85" s="23"/>
      <c r="F85" s="103"/>
      <c r="G85" s="12"/>
      <c r="H85" s="12"/>
    </row>
    <row r="86" spans="1:8" s="6" customFormat="1" x14ac:dyDescent="0.25">
      <c r="A86" s="4"/>
      <c r="B86" s="4" t="s">
        <v>6</v>
      </c>
      <c r="C86" s="23">
        <v>36800</v>
      </c>
      <c r="D86" s="103"/>
      <c r="E86" s="23">
        <f>1500+35300+1900</f>
        <v>38700</v>
      </c>
      <c r="F86" s="103"/>
      <c r="G86" s="12">
        <f>C86-E86</f>
        <v>-1900</v>
      </c>
      <c r="H86" s="12"/>
    </row>
    <row r="87" spans="1:8" s="6" customFormat="1" x14ac:dyDescent="0.25">
      <c r="A87" s="4"/>
      <c r="B87" s="4" t="s">
        <v>56</v>
      </c>
      <c r="C87" s="23">
        <v>5200</v>
      </c>
      <c r="D87" s="103"/>
      <c r="E87" s="23">
        <f>5000+200-200</f>
        <v>5000</v>
      </c>
      <c r="F87" s="12"/>
      <c r="G87" s="12">
        <f>C87-E87</f>
        <v>200</v>
      </c>
      <c r="H87" s="12"/>
    </row>
    <row r="88" spans="1:8" x14ac:dyDescent="0.25">
      <c r="B88" s="4" t="s">
        <v>57</v>
      </c>
      <c r="C88" s="23">
        <v>0</v>
      </c>
      <c r="E88" s="23">
        <f>20000-20000</f>
        <v>0</v>
      </c>
      <c r="F88" s="12"/>
      <c r="G88" s="12">
        <f>C88-E88</f>
        <v>0</v>
      </c>
    </row>
    <row r="89" spans="1:8" x14ac:dyDescent="0.25">
      <c r="B89" s="4" t="s">
        <v>59</v>
      </c>
      <c r="C89" s="23">
        <v>15300</v>
      </c>
      <c r="E89" s="23">
        <v>15300</v>
      </c>
      <c r="F89" s="12"/>
      <c r="G89" s="12">
        <f>C89-E89</f>
        <v>0</v>
      </c>
    </row>
    <row r="90" spans="1:8" x14ac:dyDescent="0.25">
      <c r="C90" s="112"/>
      <c r="E90" s="112"/>
      <c r="G90" s="159"/>
    </row>
    <row r="91" spans="1:8" x14ac:dyDescent="0.25">
      <c r="C91" s="113"/>
      <c r="E91" s="113"/>
      <c r="G91" s="115"/>
    </row>
    <row r="92" spans="1:8" x14ac:dyDescent="0.25">
      <c r="B92" s="11" t="s">
        <v>55</v>
      </c>
      <c r="C92" s="113">
        <f>SUM(C86:C88)-C89</f>
        <v>26700</v>
      </c>
      <c r="E92" s="113">
        <f>SUM(E86:E88)-E89</f>
        <v>28400</v>
      </c>
      <c r="G92" s="113">
        <f>SUM(G86:G88)-G89</f>
        <v>-1700</v>
      </c>
    </row>
    <row r="93" spans="1:8" ht="18.75" thickBot="1" x14ac:dyDescent="0.3">
      <c r="B93" s="6"/>
      <c r="C93" s="116"/>
      <c r="E93" s="116"/>
      <c r="G93" s="174"/>
    </row>
    <row r="94" spans="1:8" ht="18.75" thickTop="1" x14ac:dyDescent="0.25">
      <c r="A94" s="8"/>
    </row>
    <row r="95" spans="1:8" ht="40.5" customHeight="1" x14ac:dyDescent="0.25">
      <c r="A95" s="8"/>
    </row>
    <row r="96" spans="1:8" x14ac:dyDescent="0.25">
      <c r="B96" s="8"/>
      <c r="C96" s="113"/>
      <c r="D96" s="114"/>
      <c r="E96" s="113"/>
    </row>
    <row r="97" spans="1:7" ht="27.75" x14ac:dyDescent="0.25">
      <c r="B97" s="221" t="s">
        <v>22</v>
      </c>
      <c r="C97" s="222"/>
      <c r="D97" s="222"/>
      <c r="E97" s="222"/>
      <c r="F97" s="222"/>
      <c r="G97" s="223"/>
    </row>
    <row r="98" spans="1:7" x14ac:dyDescent="0.25">
      <c r="A98" s="5"/>
    </row>
    <row r="100" spans="1:7" x14ac:dyDescent="0.25">
      <c r="B100" s="26"/>
      <c r="C100" s="104" t="s">
        <v>200</v>
      </c>
      <c r="E100" s="104" t="s">
        <v>212</v>
      </c>
      <c r="G100" s="52"/>
    </row>
    <row r="101" spans="1:7" x14ac:dyDescent="0.25">
      <c r="B101" s="3"/>
      <c r="C101" s="105" t="s">
        <v>95</v>
      </c>
      <c r="E101" s="105" t="s">
        <v>40</v>
      </c>
      <c r="G101" s="61" t="s">
        <v>41</v>
      </c>
    </row>
    <row r="102" spans="1:7" x14ac:dyDescent="0.25">
      <c r="C102" s="106" t="s">
        <v>42</v>
      </c>
      <c r="E102" s="106" t="s">
        <v>42</v>
      </c>
      <c r="G102" s="62" t="s">
        <v>28</v>
      </c>
    </row>
    <row r="103" spans="1:7" x14ac:dyDescent="0.25">
      <c r="C103" s="23"/>
      <c r="E103" s="23"/>
      <c r="G103" s="12"/>
    </row>
    <row r="104" spans="1:7" ht="20.25" x14ac:dyDescent="0.3">
      <c r="B104" s="118" t="s">
        <v>98</v>
      </c>
      <c r="C104" s="23" t="s">
        <v>0</v>
      </c>
      <c r="E104" s="23" t="s">
        <v>0</v>
      </c>
      <c r="G104" s="12" t="s">
        <v>0</v>
      </c>
    </row>
    <row r="105" spans="1:7" x14ac:dyDescent="0.25">
      <c r="C105" s="23"/>
      <c r="E105" s="23"/>
      <c r="G105" s="12"/>
    </row>
    <row r="106" spans="1:7" x14ac:dyDescent="0.25">
      <c r="B106" s="4" t="s">
        <v>6</v>
      </c>
      <c r="C106" s="23">
        <v>97000</v>
      </c>
      <c r="E106" s="23">
        <f>46300+50700+4800</f>
        <v>101800</v>
      </c>
      <c r="G106" s="114">
        <f>C106-E106</f>
        <v>-4800</v>
      </c>
    </row>
    <row r="107" spans="1:7" x14ac:dyDescent="0.25">
      <c r="A107" s="6"/>
      <c r="B107" s="4" t="s">
        <v>56</v>
      </c>
      <c r="C107" s="113">
        <v>3000</v>
      </c>
      <c r="E107" s="113">
        <f>53700-50700-3000</f>
        <v>0</v>
      </c>
      <c r="G107" s="114">
        <f>C107-E107</f>
        <v>3000</v>
      </c>
    </row>
    <row r="108" spans="1:7" x14ac:dyDescent="0.25">
      <c r="A108" s="6"/>
      <c r="B108" s="9"/>
      <c r="C108" s="112"/>
      <c r="E108" s="112"/>
      <c r="G108" s="159"/>
    </row>
    <row r="109" spans="1:7" x14ac:dyDescent="0.25">
      <c r="C109" s="23"/>
      <c r="E109" s="23"/>
    </row>
    <row r="110" spans="1:7" x14ac:dyDescent="0.25">
      <c r="B110" s="100" t="s">
        <v>2</v>
      </c>
      <c r="C110" s="113">
        <f>C107+C106</f>
        <v>100000</v>
      </c>
      <c r="E110" s="113">
        <f>E107+E106</f>
        <v>101800</v>
      </c>
      <c r="G110" s="12">
        <f>C110-E110</f>
        <v>-1800</v>
      </c>
    </row>
    <row r="111" spans="1:7" ht="18.75" thickBot="1" x14ac:dyDescent="0.3">
      <c r="B111" s="11"/>
      <c r="C111" s="110"/>
      <c r="E111" s="110"/>
      <c r="G111" s="177"/>
    </row>
    <row r="112" spans="1:7" ht="18.75" thickTop="1" x14ac:dyDescent="0.25"/>
    <row r="113" spans="1:8" ht="40.5" customHeight="1" x14ac:dyDescent="0.25"/>
    <row r="114" spans="1:8" ht="19.5" customHeight="1" x14ac:dyDescent="0.25"/>
    <row r="115" spans="1:8" ht="27.75" x14ac:dyDescent="0.25">
      <c r="B115" s="221" t="s">
        <v>22</v>
      </c>
      <c r="C115" s="222"/>
      <c r="D115" s="222"/>
      <c r="E115" s="222"/>
      <c r="F115" s="222"/>
      <c r="G115" s="223"/>
    </row>
    <row r="116" spans="1:8" ht="27.75" x14ac:dyDescent="0.25">
      <c r="A116" s="5"/>
      <c r="B116" s="186"/>
      <c r="C116" s="186"/>
      <c r="D116" s="186"/>
      <c r="E116" s="186"/>
      <c r="F116" s="186"/>
      <c r="G116" s="186"/>
    </row>
    <row r="117" spans="1:8" ht="26.25" x14ac:dyDescent="0.35">
      <c r="B117" s="182"/>
    </row>
    <row r="118" spans="1:8" x14ac:dyDescent="0.25">
      <c r="B118" s="26"/>
      <c r="C118" s="104" t="s">
        <v>200</v>
      </c>
      <c r="E118" s="104" t="s">
        <v>212</v>
      </c>
      <c r="G118" s="52"/>
    </row>
    <row r="119" spans="1:8" x14ac:dyDescent="0.25">
      <c r="C119" s="105" t="s">
        <v>95</v>
      </c>
      <c r="E119" s="105" t="s">
        <v>40</v>
      </c>
      <c r="G119" s="61" t="s">
        <v>41</v>
      </c>
    </row>
    <row r="120" spans="1:8" x14ac:dyDescent="0.25">
      <c r="C120" s="106" t="s">
        <v>42</v>
      </c>
      <c r="E120" s="106" t="s">
        <v>42</v>
      </c>
      <c r="G120" s="62" t="s">
        <v>28</v>
      </c>
    </row>
    <row r="121" spans="1:8" x14ac:dyDescent="0.25">
      <c r="G121" s="25"/>
    </row>
    <row r="122" spans="1:8" ht="21" customHeight="1" x14ac:dyDescent="0.3">
      <c r="B122" s="118" t="s">
        <v>99</v>
      </c>
      <c r="C122" s="23" t="s">
        <v>0</v>
      </c>
      <c r="E122" s="23" t="s">
        <v>0</v>
      </c>
      <c r="G122" s="12" t="s">
        <v>0</v>
      </c>
    </row>
    <row r="123" spans="1:8" x14ac:dyDescent="0.25">
      <c r="C123" s="23"/>
      <c r="E123" s="23"/>
      <c r="G123" s="12"/>
    </row>
    <row r="124" spans="1:8" x14ac:dyDescent="0.25">
      <c r="B124" s="4" t="s">
        <v>6</v>
      </c>
      <c r="C124" s="23">
        <v>1282400</v>
      </c>
      <c r="E124" s="23">
        <f>1282400-24800+900+58200-88900</f>
        <v>1227800</v>
      </c>
      <c r="G124" s="103">
        <f>C124-E124</f>
        <v>54600</v>
      </c>
    </row>
    <row r="125" spans="1:8" x14ac:dyDescent="0.25">
      <c r="B125" s="4" t="s">
        <v>25</v>
      </c>
      <c r="C125" s="23">
        <v>5400</v>
      </c>
      <c r="E125" s="23">
        <f>5400-500</f>
        <v>4900</v>
      </c>
      <c r="G125" s="103">
        <f>C125-E125</f>
        <v>500</v>
      </c>
    </row>
    <row r="126" spans="1:8" x14ac:dyDescent="0.25">
      <c r="B126" s="4" t="s">
        <v>56</v>
      </c>
      <c r="C126" s="23">
        <v>46700</v>
      </c>
      <c r="E126" s="23">
        <f>46700+4500-13000</f>
        <v>38200</v>
      </c>
      <c r="G126" s="103">
        <f>C126-E126</f>
        <v>8500</v>
      </c>
    </row>
    <row r="127" spans="1:8" x14ac:dyDescent="0.25">
      <c r="B127" s="4" t="s">
        <v>70</v>
      </c>
      <c r="C127" s="23">
        <v>1000</v>
      </c>
      <c r="E127" s="23">
        <v>1000</v>
      </c>
      <c r="G127" s="103">
        <f>C127-E127</f>
        <v>0</v>
      </c>
    </row>
    <row r="128" spans="1:8" s="6" customFormat="1" x14ac:dyDescent="0.25">
      <c r="B128" s="7"/>
      <c r="C128" s="112"/>
      <c r="D128" s="103"/>
      <c r="E128" s="112"/>
      <c r="F128" s="103"/>
      <c r="G128" s="126"/>
      <c r="H128" s="115"/>
    </row>
    <row r="129" spans="1:8" x14ac:dyDescent="0.25">
      <c r="C129" s="113"/>
      <c r="E129" s="113"/>
      <c r="G129" s="12"/>
    </row>
    <row r="130" spans="1:8" x14ac:dyDescent="0.25">
      <c r="B130" s="6" t="s">
        <v>67</v>
      </c>
      <c r="C130" s="23">
        <f>SUM(C124:C128)</f>
        <v>1335500</v>
      </c>
      <c r="D130" s="12"/>
      <c r="E130" s="23">
        <f>SUM(E124:E128)</f>
        <v>1271900</v>
      </c>
      <c r="F130" s="114"/>
      <c r="G130" s="23">
        <f>SUM(G123:G128)</f>
        <v>63600</v>
      </c>
    </row>
    <row r="131" spans="1:8" x14ac:dyDescent="0.25">
      <c r="C131" s="23"/>
      <c r="E131" s="23"/>
      <c r="G131" s="12"/>
    </row>
    <row r="132" spans="1:8" s="1" customFormat="1" x14ac:dyDescent="0.25">
      <c r="A132" s="4"/>
      <c r="B132" s="4" t="s">
        <v>59</v>
      </c>
      <c r="C132" s="23">
        <f>32700-32700</f>
        <v>0</v>
      </c>
      <c r="D132" s="103"/>
      <c r="E132" s="23">
        <f>32700-32700</f>
        <v>0</v>
      </c>
      <c r="F132" s="103"/>
      <c r="G132" s="12">
        <f>E132-C132</f>
        <v>0</v>
      </c>
      <c r="H132" s="114"/>
    </row>
    <row r="133" spans="1:8" s="1" customFormat="1" x14ac:dyDescent="0.25">
      <c r="A133" s="4"/>
      <c r="B133" s="4" t="s">
        <v>26</v>
      </c>
      <c r="C133" s="23">
        <v>11000</v>
      </c>
      <c r="D133" s="103"/>
      <c r="E133" s="23">
        <f>10000+1000-10000</f>
        <v>1000</v>
      </c>
      <c r="F133" s="103"/>
      <c r="G133" s="12">
        <f>E133-C133</f>
        <v>-10000</v>
      </c>
      <c r="H133" s="114"/>
    </row>
    <row r="134" spans="1:8" s="8" customFormat="1" x14ac:dyDescent="0.25">
      <c r="A134" s="6"/>
      <c r="B134" s="4"/>
      <c r="C134" s="112"/>
      <c r="D134" s="103"/>
      <c r="E134" s="112"/>
      <c r="F134" s="114"/>
      <c r="G134" s="159"/>
      <c r="H134" s="115"/>
    </row>
    <row r="135" spans="1:8" x14ac:dyDescent="0.25">
      <c r="A135" s="6"/>
      <c r="C135" s="113"/>
      <c r="E135" s="113"/>
      <c r="F135" s="114"/>
      <c r="G135" s="115"/>
    </row>
    <row r="136" spans="1:8" x14ac:dyDescent="0.25">
      <c r="A136" s="6"/>
      <c r="B136" s="11" t="s">
        <v>55</v>
      </c>
      <c r="C136" s="23">
        <f>C130-C132-C133</f>
        <v>1324500</v>
      </c>
      <c r="D136" s="23"/>
      <c r="E136" s="23">
        <f>E130-E132-E133</f>
        <v>1270900</v>
      </c>
      <c r="F136" s="115"/>
      <c r="G136" s="12">
        <f>C136-E136</f>
        <v>53600</v>
      </c>
    </row>
    <row r="137" spans="1:8" ht="18.75" thickBot="1" x14ac:dyDescent="0.3">
      <c r="B137" s="6"/>
      <c r="C137" s="110"/>
      <c r="E137" s="110"/>
      <c r="G137" s="177"/>
    </row>
    <row r="138" spans="1:8" ht="18.75" thickTop="1" x14ac:dyDescent="0.25">
      <c r="B138" s="6"/>
      <c r="C138" s="23"/>
      <c r="D138" s="114"/>
      <c r="E138" s="23"/>
      <c r="G138" s="12"/>
    </row>
    <row r="140" spans="1:8" s="6" customFormat="1" x14ac:dyDescent="0.25">
      <c r="A140" s="4"/>
      <c r="B140" s="4"/>
      <c r="C140" s="103"/>
      <c r="D140" s="103"/>
      <c r="E140" s="103"/>
      <c r="F140" s="103"/>
      <c r="G140" s="103"/>
      <c r="H140" s="103"/>
    </row>
    <row r="141" spans="1:8" ht="27.75" x14ac:dyDescent="0.25">
      <c r="B141" s="221" t="s">
        <v>22</v>
      </c>
      <c r="C141" s="222"/>
      <c r="D141" s="222"/>
      <c r="E141" s="222"/>
      <c r="F141" s="222"/>
      <c r="G141" s="223"/>
    </row>
    <row r="142" spans="1:8" ht="27.75" x14ac:dyDescent="0.25">
      <c r="A142" s="5"/>
      <c r="B142" s="186"/>
      <c r="C142" s="186"/>
      <c r="D142" s="186"/>
      <c r="E142" s="186"/>
      <c r="F142" s="186"/>
      <c r="G142" s="186"/>
    </row>
    <row r="143" spans="1:8" ht="26.25" x14ac:dyDescent="0.35">
      <c r="B143" s="182"/>
    </row>
    <row r="144" spans="1:8" x14ac:dyDescent="0.25">
      <c r="B144" s="26"/>
      <c r="C144" s="104" t="s">
        <v>200</v>
      </c>
      <c r="E144" s="104" t="s">
        <v>212</v>
      </c>
      <c r="G144" s="52"/>
    </row>
    <row r="145" spans="1:8" x14ac:dyDescent="0.25">
      <c r="C145" s="105" t="s">
        <v>95</v>
      </c>
      <c r="E145" s="105" t="s">
        <v>40</v>
      </c>
      <c r="G145" s="61" t="s">
        <v>41</v>
      </c>
    </row>
    <row r="146" spans="1:8" s="1" customFormat="1" x14ac:dyDescent="0.25">
      <c r="A146" s="4"/>
      <c r="B146" s="4"/>
      <c r="C146" s="106" t="s">
        <v>42</v>
      </c>
      <c r="D146" s="103"/>
      <c r="E146" s="106" t="s">
        <v>42</v>
      </c>
      <c r="F146" s="103"/>
      <c r="G146" s="62" t="s">
        <v>28</v>
      </c>
      <c r="H146" s="103"/>
    </row>
    <row r="147" spans="1:8" s="1" customFormat="1" x14ac:dyDescent="0.25">
      <c r="A147" s="4"/>
      <c r="B147" s="4"/>
      <c r="C147" s="24"/>
      <c r="D147" s="103"/>
      <c r="E147" s="24"/>
      <c r="F147" s="103"/>
      <c r="G147" s="25"/>
      <c r="H147" s="103"/>
    </row>
    <row r="148" spans="1:8" s="1" customFormat="1" ht="20.25" x14ac:dyDescent="0.3">
      <c r="A148" s="4"/>
      <c r="B148" s="118" t="s">
        <v>209</v>
      </c>
      <c r="C148" s="23" t="s">
        <v>0</v>
      </c>
      <c r="D148" s="103"/>
      <c r="E148" s="23" t="s">
        <v>0</v>
      </c>
      <c r="F148" s="103"/>
      <c r="G148" s="12" t="s">
        <v>0</v>
      </c>
      <c r="H148" s="103"/>
    </row>
    <row r="149" spans="1:8" s="1" customFormat="1" x14ac:dyDescent="0.25">
      <c r="A149" s="4"/>
      <c r="B149" s="4"/>
      <c r="C149" s="23"/>
      <c r="D149" s="103"/>
      <c r="E149" s="23"/>
      <c r="F149" s="103"/>
      <c r="G149" s="12"/>
      <c r="H149" s="103"/>
    </row>
    <row r="150" spans="1:8" s="1" customFormat="1" x14ac:dyDescent="0.25">
      <c r="A150" s="4"/>
      <c r="B150" s="4" t="s">
        <v>6</v>
      </c>
      <c r="C150" s="23">
        <v>150700</v>
      </c>
      <c r="D150" s="103"/>
      <c r="E150" s="23">
        <f>150700-3100-600-500+3500+8100</f>
        <v>158100</v>
      </c>
      <c r="F150" s="103"/>
      <c r="G150" s="103">
        <f>C150-E150</f>
        <v>-7400</v>
      </c>
      <c r="H150" s="103"/>
    </row>
    <row r="151" spans="1:8" s="1" customFormat="1" x14ac:dyDescent="0.25">
      <c r="A151" s="4"/>
      <c r="B151" s="4" t="s">
        <v>25</v>
      </c>
      <c r="C151" s="23">
        <v>2300</v>
      </c>
      <c r="D151" s="103"/>
      <c r="E151" s="23">
        <f>2300-1000-300+1300</f>
        <v>2300</v>
      </c>
      <c r="F151" s="103"/>
      <c r="G151" s="103">
        <f>C151-E151</f>
        <v>0</v>
      </c>
      <c r="H151" s="103"/>
    </row>
    <row r="152" spans="1:8" s="1" customFormat="1" x14ac:dyDescent="0.25">
      <c r="A152" s="4"/>
      <c r="B152" s="4" t="s">
        <v>56</v>
      </c>
      <c r="C152" s="23">
        <v>9600</v>
      </c>
      <c r="D152" s="103"/>
      <c r="E152" s="23">
        <f>9600+1300-3200-800</f>
        <v>6900</v>
      </c>
      <c r="F152" s="103"/>
      <c r="G152" s="103">
        <f>C152-E152</f>
        <v>2700</v>
      </c>
      <c r="H152" s="103"/>
    </row>
    <row r="153" spans="1:8" s="1" customFormat="1" x14ac:dyDescent="0.25">
      <c r="A153" s="6"/>
      <c r="B153" s="4" t="s">
        <v>70</v>
      </c>
      <c r="C153" s="112">
        <v>3000</v>
      </c>
      <c r="D153" s="103"/>
      <c r="E153" s="112">
        <v>3000</v>
      </c>
      <c r="F153" s="103"/>
      <c r="G153" s="126">
        <f>C153-E153</f>
        <v>0</v>
      </c>
      <c r="H153" s="115"/>
    </row>
    <row r="154" spans="1:8" s="1" customFormat="1" x14ac:dyDescent="0.25">
      <c r="A154" s="4"/>
      <c r="B154" s="4"/>
      <c r="C154" s="113"/>
      <c r="D154" s="103"/>
      <c r="E154" s="113"/>
      <c r="F154" s="103"/>
      <c r="G154" s="12"/>
      <c r="H154" s="103"/>
    </row>
    <row r="155" spans="1:8" s="1" customFormat="1" x14ac:dyDescent="0.25">
      <c r="A155" s="4"/>
      <c r="B155" s="6" t="s">
        <v>67</v>
      </c>
      <c r="C155" s="23">
        <f>SUM(C150:C153)</f>
        <v>165600</v>
      </c>
      <c r="D155" s="12"/>
      <c r="E155" s="23">
        <f>SUM(E150:E153)</f>
        <v>170300</v>
      </c>
      <c r="F155" s="114"/>
      <c r="G155" s="23">
        <f>SUM(G149:G153)</f>
        <v>-4700</v>
      </c>
      <c r="H155" s="103"/>
    </row>
    <row r="156" spans="1:8" x14ac:dyDescent="0.25">
      <c r="C156" s="23"/>
      <c r="E156" s="23"/>
      <c r="G156" s="12"/>
    </row>
    <row r="157" spans="1:8" s="1" customFormat="1" x14ac:dyDescent="0.25">
      <c r="A157" s="4"/>
      <c r="B157" s="4" t="s">
        <v>210</v>
      </c>
      <c r="C157" s="23">
        <v>128000</v>
      </c>
      <c r="D157" s="103"/>
      <c r="E157" s="23">
        <v>128000</v>
      </c>
      <c r="F157" s="103"/>
      <c r="G157" s="103">
        <f>E157-C157</f>
        <v>0</v>
      </c>
      <c r="H157" s="114"/>
    </row>
    <row r="158" spans="1:8" x14ac:dyDescent="0.25">
      <c r="B158" s="4" t="s">
        <v>211</v>
      </c>
      <c r="C158" s="23">
        <v>35000</v>
      </c>
      <c r="E158" s="23">
        <v>35000</v>
      </c>
      <c r="G158" s="103">
        <f>E158-C158</f>
        <v>0</v>
      </c>
      <c r="H158" s="114"/>
    </row>
    <row r="159" spans="1:8" x14ac:dyDescent="0.25">
      <c r="A159" s="6"/>
      <c r="C159" s="112"/>
      <c r="E159" s="112"/>
      <c r="F159" s="114"/>
      <c r="G159" s="159"/>
      <c r="H159" s="115"/>
    </row>
    <row r="160" spans="1:8" x14ac:dyDescent="0.25">
      <c r="A160" s="6"/>
      <c r="C160" s="113"/>
      <c r="E160" s="113"/>
      <c r="F160" s="114"/>
      <c r="G160" s="115"/>
    </row>
    <row r="161" spans="1:7" x14ac:dyDescent="0.25">
      <c r="A161" s="6"/>
      <c r="B161" s="11" t="s">
        <v>55</v>
      </c>
      <c r="C161" s="23">
        <f>C155-C157-C158</f>
        <v>2600</v>
      </c>
      <c r="D161" s="23"/>
      <c r="E161" s="23">
        <f>E155-E157-E158</f>
        <v>7300</v>
      </c>
      <c r="F161" s="115"/>
      <c r="G161" s="12">
        <f>C161-E161</f>
        <v>-4700</v>
      </c>
    </row>
    <row r="162" spans="1:7" ht="18.75" thickBot="1" x14ac:dyDescent="0.3">
      <c r="B162" s="6"/>
      <c r="C162" s="110"/>
      <c r="E162" s="110"/>
      <c r="G162" s="177"/>
    </row>
    <row r="163" spans="1:7" ht="18.75" thickTop="1" x14ac:dyDescent="0.25">
      <c r="B163" s="6"/>
      <c r="C163" s="23"/>
      <c r="D163" s="114"/>
      <c r="E163" s="23"/>
      <c r="G163" s="12"/>
    </row>
  </sheetData>
  <mergeCells count="7">
    <mergeCell ref="B141:G141"/>
    <mergeCell ref="B115:G115"/>
    <mergeCell ref="B59:G59"/>
    <mergeCell ref="B2:G2"/>
    <mergeCell ref="B29:G29"/>
    <mergeCell ref="B77:G77"/>
    <mergeCell ref="B97:G97"/>
  </mergeCells>
  <phoneticPr fontId="0" type="noConversion"/>
  <pageMargins left="0.59055118110236227" right="0.23622047244094491" top="0.59055118110236227" bottom="1.3779527559055118" header="0.78740157480314965" footer="1.1811023622047245"/>
  <pageSetup paperSize="9" scale="62" firstPageNumber="13" orientation="portrait" useFirstPageNumber="1" r:id="rId1"/>
  <headerFooter alignWithMargins="0">
    <oddFooter>&amp;C&amp;18&amp;P</oddFooter>
  </headerFooter>
  <rowBreaks count="3" manualBreakCount="3">
    <brk id="25" max="16383" man="1"/>
    <brk id="73" max="16383" man="1"/>
    <brk id="11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H272"/>
  <sheetViews>
    <sheetView zoomScale="80" zoomScaleNormal="80" workbookViewId="0">
      <selection activeCell="O16" sqref="O16"/>
    </sheetView>
  </sheetViews>
  <sheetFormatPr defaultColWidth="9.28515625" defaultRowHeight="18" x14ac:dyDescent="0.25"/>
  <cols>
    <col min="1" max="1" width="10" style="4" customWidth="1"/>
    <col min="2" max="2" width="54.28515625" style="4" customWidth="1"/>
    <col min="3" max="3" width="17.42578125" style="24" customWidth="1"/>
    <col min="4" max="4" width="9.7109375" style="103" customWidth="1"/>
    <col min="5" max="5" width="17.28515625" style="24" customWidth="1"/>
    <col min="6" max="6" width="10" style="103" customWidth="1"/>
    <col min="7" max="7" width="17.28515625" style="103" customWidth="1"/>
    <col min="8" max="16384" width="9.28515625" style="4"/>
  </cols>
  <sheetData>
    <row r="2" spans="1:7" ht="41.25" customHeight="1" x14ac:dyDescent="0.25">
      <c r="B2" s="224" t="s">
        <v>20</v>
      </c>
      <c r="C2" s="225"/>
      <c r="D2" s="225"/>
      <c r="E2" s="225"/>
      <c r="F2" s="225"/>
      <c r="G2" s="226"/>
    </row>
    <row r="5" spans="1:7" x14ac:dyDescent="0.25">
      <c r="A5" s="5"/>
      <c r="B5" s="26"/>
      <c r="C5" s="104" t="s">
        <v>200</v>
      </c>
      <c r="E5" s="104" t="s">
        <v>212</v>
      </c>
      <c r="G5" s="52"/>
    </row>
    <row r="6" spans="1:7" x14ac:dyDescent="0.25">
      <c r="B6" s="85"/>
      <c r="C6" s="105" t="s">
        <v>95</v>
      </c>
      <c r="E6" s="105" t="s">
        <v>40</v>
      </c>
      <c r="G6" s="61" t="s">
        <v>41</v>
      </c>
    </row>
    <row r="7" spans="1:7" x14ac:dyDescent="0.25">
      <c r="B7" s="85"/>
      <c r="C7" s="106" t="s">
        <v>42</v>
      </c>
      <c r="E7" s="106" t="s">
        <v>42</v>
      </c>
      <c r="G7" s="62" t="s">
        <v>28</v>
      </c>
    </row>
    <row r="8" spans="1:7" x14ac:dyDescent="0.25">
      <c r="C8" s="23"/>
      <c r="E8" s="23"/>
    </row>
    <row r="9" spans="1:7" ht="20.25" x14ac:dyDescent="0.3">
      <c r="B9" s="117" t="s">
        <v>54</v>
      </c>
      <c r="C9" s="23" t="s">
        <v>0</v>
      </c>
      <c r="E9" s="23" t="s">
        <v>0</v>
      </c>
      <c r="G9" s="12" t="s">
        <v>0</v>
      </c>
    </row>
    <row r="10" spans="1:7" x14ac:dyDescent="0.25">
      <c r="B10" s="2"/>
      <c r="C10" s="23"/>
      <c r="E10" s="23"/>
    </row>
    <row r="11" spans="1:7" ht="20.25" x14ac:dyDescent="0.3">
      <c r="B11" s="120" t="s">
        <v>75</v>
      </c>
      <c r="C11" s="23">
        <f>C51</f>
        <v>984400</v>
      </c>
      <c r="D11" s="23"/>
      <c r="E11" s="23">
        <f>E51</f>
        <v>974300</v>
      </c>
      <c r="G11" s="103">
        <f>C11-E11</f>
        <v>10100</v>
      </c>
    </row>
    <row r="12" spans="1:7" ht="20.25" x14ac:dyDescent="0.3">
      <c r="B12" s="121"/>
      <c r="C12" s="23"/>
      <c r="D12" s="23"/>
      <c r="E12" s="23"/>
    </row>
    <row r="13" spans="1:7" ht="20.25" x14ac:dyDescent="0.3">
      <c r="B13" s="121" t="s">
        <v>14</v>
      </c>
      <c r="C13" s="23">
        <f>C82</f>
        <v>2752900</v>
      </c>
      <c r="D13" s="23"/>
      <c r="E13" s="23">
        <f>E82</f>
        <v>2889100</v>
      </c>
      <c r="G13" s="103">
        <f t="shared" ref="G13:G27" si="0">C13-E13</f>
        <v>-136200</v>
      </c>
    </row>
    <row r="14" spans="1:7" ht="20.25" x14ac:dyDescent="0.3">
      <c r="B14" s="119"/>
      <c r="C14" s="23"/>
      <c r="D14" s="23"/>
      <c r="E14" s="23"/>
    </row>
    <row r="15" spans="1:7" ht="20.25" x14ac:dyDescent="0.3">
      <c r="B15" s="120" t="s">
        <v>76</v>
      </c>
      <c r="C15" s="23">
        <f>C106</f>
        <v>-243200</v>
      </c>
      <c r="D15" s="23"/>
      <c r="E15" s="23">
        <f>E106</f>
        <v>-250500</v>
      </c>
      <c r="G15" s="103">
        <f t="shared" si="0"/>
        <v>7300</v>
      </c>
    </row>
    <row r="16" spans="1:7" ht="20.25" x14ac:dyDescent="0.3">
      <c r="B16" s="119"/>
      <c r="C16" s="23"/>
      <c r="D16" s="23"/>
      <c r="E16" s="23"/>
    </row>
    <row r="17" spans="2:7" ht="20.25" x14ac:dyDescent="0.3">
      <c r="B17" s="119" t="s">
        <v>5</v>
      </c>
      <c r="C17" s="23">
        <f>C131</f>
        <v>1360000</v>
      </c>
      <c r="D17" s="23"/>
      <c r="E17" s="23">
        <f>E131</f>
        <v>1375700</v>
      </c>
      <c r="G17" s="103">
        <f t="shared" si="0"/>
        <v>-15700</v>
      </c>
    </row>
    <row r="18" spans="2:7" ht="20.25" x14ac:dyDescent="0.3">
      <c r="B18" s="119"/>
      <c r="C18" s="23"/>
      <c r="D18" s="23"/>
      <c r="E18" s="23"/>
    </row>
    <row r="19" spans="2:7" ht="20.25" x14ac:dyDescent="0.3">
      <c r="B19" s="189" t="s">
        <v>77</v>
      </c>
      <c r="C19" s="23">
        <f>C159</f>
        <v>945600</v>
      </c>
      <c r="D19" s="23"/>
      <c r="E19" s="23">
        <f>E159</f>
        <v>962400</v>
      </c>
      <c r="G19" s="103">
        <f t="shared" si="0"/>
        <v>-16800</v>
      </c>
    </row>
    <row r="20" spans="2:7" ht="20.25" x14ac:dyDescent="0.3">
      <c r="B20" s="189"/>
      <c r="C20" s="23"/>
      <c r="D20" s="23"/>
      <c r="E20" s="23"/>
    </row>
    <row r="21" spans="2:7" ht="20.25" x14ac:dyDescent="0.3">
      <c r="B21" s="189" t="s">
        <v>78</v>
      </c>
      <c r="C21" s="23">
        <f>C189</f>
        <v>601000</v>
      </c>
      <c r="D21" s="23"/>
      <c r="E21" s="23">
        <f>E189</f>
        <v>609600</v>
      </c>
      <c r="G21" s="103">
        <f t="shared" si="0"/>
        <v>-8600</v>
      </c>
    </row>
    <row r="22" spans="2:7" ht="20.25" x14ac:dyDescent="0.3">
      <c r="B22" s="188"/>
      <c r="C22" s="23"/>
      <c r="D22" s="23"/>
      <c r="E22" s="23"/>
    </row>
    <row r="23" spans="2:7" ht="20.25" x14ac:dyDescent="0.3">
      <c r="B23" s="188" t="s">
        <v>79</v>
      </c>
      <c r="C23" s="23">
        <f>C213</f>
        <v>0</v>
      </c>
      <c r="D23" s="23"/>
      <c r="E23" s="23">
        <f>E213</f>
        <v>0</v>
      </c>
      <c r="G23" s="103">
        <f t="shared" si="0"/>
        <v>0</v>
      </c>
    </row>
    <row r="24" spans="2:7" ht="20.25" x14ac:dyDescent="0.3">
      <c r="B24" s="188"/>
      <c r="C24" s="23"/>
      <c r="D24" s="23"/>
      <c r="E24" s="23"/>
    </row>
    <row r="25" spans="2:7" ht="20.25" x14ac:dyDescent="0.3">
      <c r="B25" s="189" t="s">
        <v>80</v>
      </c>
      <c r="C25" s="23">
        <f>C236</f>
        <v>40600</v>
      </c>
      <c r="D25" s="23"/>
      <c r="E25" s="23">
        <f>E236</f>
        <v>40300</v>
      </c>
      <c r="G25" s="103">
        <f t="shared" si="0"/>
        <v>300</v>
      </c>
    </row>
    <row r="26" spans="2:7" ht="20.25" x14ac:dyDescent="0.3">
      <c r="B26" s="189"/>
      <c r="C26" s="23"/>
      <c r="D26" s="23"/>
      <c r="E26" s="23"/>
    </row>
    <row r="27" spans="2:7" ht="20.25" x14ac:dyDescent="0.3">
      <c r="B27" s="189" t="s">
        <v>51</v>
      </c>
      <c r="C27" s="23">
        <f>C264</f>
        <v>-516400</v>
      </c>
      <c r="D27" s="23"/>
      <c r="E27" s="23">
        <f>E264</f>
        <v>-568100</v>
      </c>
      <c r="G27" s="103">
        <f t="shared" si="0"/>
        <v>51700</v>
      </c>
    </row>
    <row r="28" spans="2:7" ht="16.5" customHeight="1" x14ac:dyDescent="0.25">
      <c r="C28" s="23"/>
      <c r="E28" s="23"/>
    </row>
    <row r="29" spans="2:7" x14ac:dyDescent="0.25">
      <c r="C29" s="157"/>
      <c r="E29" s="157"/>
      <c r="G29" s="157"/>
    </row>
    <row r="30" spans="2:7" s="6" customFormat="1" ht="20.25" x14ac:dyDescent="0.3">
      <c r="B30" s="117" t="s">
        <v>55</v>
      </c>
      <c r="C30" s="23">
        <f>SUM(C11:C27)</f>
        <v>5924900</v>
      </c>
      <c r="D30" s="12"/>
      <c r="E30" s="23">
        <f>SUM(E11:E27)</f>
        <v>6032800</v>
      </c>
      <c r="F30" s="103"/>
      <c r="G30" s="23">
        <f>C30-E30</f>
        <v>-107900</v>
      </c>
    </row>
    <row r="31" spans="2:7" ht="18.75" thickBot="1" x14ac:dyDescent="0.3">
      <c r="B31" s="6"/>
      <c r="C31" s="116"/>
      <c r="E31" s="116"/>
      <c r="G31" s="116"/>
    </row>
    <row r="32" spans="2:7" ht="18.75" thickTop="1" x14ac:dyDescent="0.25">
      <c r="B32" s="6"/>
      <c r="C32" s="102"/>
      <c r="E32" s="102"/>
      <c r="G32" s="102"/>
    </row>
    <row r="34" spans="1:7" x14ac:dyDescent="0.25">
      <c r="B34" s="19"/>
    </row>
    <row r="35" spans="1:7" ht="41.25" customHeight="1" x14ac:dyDescent="0.25">
      <c r="B35" s="224" t="s">
        <v>20</v>
      </c>
      <c r="C35" s="225"/>
      <c r="D35" s="225"/>
      <c r="E35" s="225"/>
      <c r="F35" s="225"/>
      <c r="G35" s="226"/>
    </row>
    <row r="38" spans="1:7" x14ac:dyDescent="0.25">
      <c r="A38" s="5"/>
      <c r="B38" s="26"/>
      <c r="C38" s="104" t="s">
        <v>200</v>
      </c>
      <c r="E38" s="104" t="s">
        <v>212</v>
      </c>
      <c r="G38" s="52"/>
    </row>
    <row r="39" spans="1:7" x14ac:dyDescent="0.25">
      <c r="B39" s="85"/>
      <c r="C39" s="105" t="s">
        <v>95</v>
      </c>
      <c r="E39" s="105" t="s">
        <v>40</v>
      </c>
      <c r="G39" s="61" t="s">
        <v>41</v>
      </c>
    </row>
    <row r="40" spans="1:7" x14ac:dyDescent="0.25">
      <c r="B40" s="85"/>
      <c r="C40" s="106" t="s">
        <v>42</v>
      </c>
      <c r="E40" s="106" t="s">
        <v>42</v>
      </c>
      <c r="G40" s="62" t="s">
        <v>28</v>
      </c>
    </row>
    <row r="41" spans="1:7" x14ac:dyDescent="0.25">
      <c r="C41" s="23"/>
      <c r="E41" s="23"/>
    </row>
    <row r="42" spans="1:7" ht="20.25" x14ac:dyDescent="0.3">
      <c r="B42" s="150" t="s">
        <v>75</v>
      </c>
      <c r="C42" s="23" t="s">
        <v>0</v>
      </c>
      <c r="E42" s="23" t="s">
        <v>0</v>
      </c>
      <c r="G42" s="12" t="s">
        <v>0</v>
      </c>
    </row>
    <row r="43" spans="1:7" x14ac:dyDescent="0.25">
      <c r="B43" s="2"/>
      <c r="C43" s="23"/>
      <c r="E43" s="23"/>
    </row>
    <row r="44" spans="1:7" x14ac:dyDescent="0.25">
      <c r="B44" s="4" t="s">
        <v>6</v>
      </c>
      <c r="C44" s="12">
        <v>836400</v>
      </c>
      <c r="E44" s="12">
        <f>836400+2300+2700-400-61700+34700</f>
        <v>814000</v>
      </c>
      <c r="G44" s="103">
        <f t="shared" ref="G44:G48" si="1">C44-E44</f>
        <v>22400</v>
      </c>
    </row>
    <row r="45" spans="1:7" x14ac:dyDescent="0.25">
      <c r="B45" s="4" t="s">
        <v>81</v>
      </c>
      <c r="C45" s="12">
        <v>600</v>
      </c>
      <c r="E45" s="12">
        <v>600</v>
      </c>
      <c r="G45" s="103">
        <f t="shared" si="1"/>
        <v>0</v>
      </c>
    </row>
    <row r="46" spans="1:7" x14ac:dyDescent="0.25">
      <c r="B46" s="4" t="s">
        <v>25</v>
      </c>
      <c r="C46" s="12">
        <v>59400</v>
      </c>
      <c r="E46" s="12">
        <f>59400+500</f>
        <v>59900</v>
      </c>
      <c r="G46" s="103">
        <f t="shared" si="1"/>
        <v>-500</v>
      </c>
    </row>
    <row r="47" spans="1:7" x14ac:dyDescent="0.25">
      <c r="B47" s="4" t="s">
        <v>56</v>
      </c>
      <c r="C47" s="158">
        <v>88000</v>
      </c>
      <c r="E47" s="158">
        <f>88000-10300-7900</f>
        <v>69800</v>
      </c>
      <c r="G47" s="103">
        <f t="shared" si="1"/>
        <v>18200</v>
      </c>
    </row>
    <row r="48" spans="1:7" x14ac:dyDescent="0.25">
      <c r="B48" s="4" t="s">
        <v>70</v>
      </c>
      <c r="C48" s="158">
        <v>0</v>
      </c>
      <c r="E48" s="158">
        <v>30000</v>
      </c>
      <c r="G48" s="103">
        <f t="shared" si="1"/>
        <v>-30000</v>
      </c>
    </row>
    <row r="49" spans="1:7" x14ac:dyDescent="0.25">
      <c r="B49" s="7"/>
      <c r="C49" s="112"/>
      <c r="E49" s="112"/>
      <c r="G49" s="126"/>
    </row>
    <row r="50" spans="1:7" x14ac:dyDescent="0.25">
      <c r="C50" s="23"/>
      <c r="E50" s="23"/>
      <c r="G50" s="23"/>
    </row>
    <row r="51" spans="1:7" x14ac:dyDescent="0.25">
      <c r="A51" s="6"/>
      <c r="B51" s="11" t="s">
        <v>55</v>
      </c>
      <c r="C51" s="23">
        <f>SUM(C43:C49)</f>
        <v>984400</v>
      </c>
      <c r="D51" s="23"/>
      <c r="E51" s="23">
        <f>SUM(E43:E49)</f>
        <v>974300</v>
      </c>
      <c r="G51" s="23">
        <f>C51-E51</f>
        <v>10100</v>
      </c>
    </row>
    <row r="52" spans="1:7" ht="18.75" thickBot="1" x14ac:dyDescent="0.3">
      <c r="B52" s="6"/>
      <c r="C52" s="110"/>
      <c r="E52" s="110"/>
      <c r="G52" s="110"/>
    </row>
    <row r="53" spans="1:7" ht="18.75" thickTop="1" x14ac:dyDescent="0.25">
      <c r="B53" s="6"/>
      <c r="C53" s="113"/>
      <c r="E53" s="113"/>
    </row>
    <row r="54" spans="1:7" x14ac:dyDescent="0.25">
      <c r="B54" s="19"/>
    </row>
    <row r="55" spans="1:7" x14ac:dyDescent="0.25">
      <c r="B55" s="19"/>
    </row>
    <row r="56" spans="1:7" ht="41.25" customHeight="1" x14ac:dyDescent="0.25">
      <c r="B56" s="224" t="s">
        <v>20</v>
      </c>
      <c r="C56" s="225"/>
      <c r="D56" s="225"/>
      <c r="E56" s="225"/>
      <c r="F56" s="225"/>
      <c r="G56" s="226"/>
    </row>
    <row r="57" spans="1:7" x14ac:dyDescent="0.25">
      <c r="B57" s="19"/>
    </row>
    <row r="59" spans="1:7" x14ac:dyDescent="0.25">
      <c r="A59" s="5"/>
      <c r="B59" s="26"/>
      <c r="C59" s="104" t="s">
        <v>200</v>
      </c>
      <c r="E59" s="104" t="s">
        <v>212</v>
      </c>
      <c r="G59" s="52"/>
    </row>
    <row r="60" spans="1:7" x14ac:dyDescent="0.25">
      <c r="B60" s="85"/>
      <c r="C60" s="105" t="s">
        <v>95</v>
      </c>
      <c r="E60" s="105" t="s">
        <v>40</v>
      </c>
      <c r="G60" s="61" t="s">
        <v>41</v>
      </c>
    </row>
    <row r="61" spans="1:7" x14ac:dyDescent="0.25">
      <c r="B61" s="85"/>
      <c r="C61" s="106" t="s">
        <v>42</v>
      </c>
      <c r="E61" s="106" t="s">
        <v>42</v>
      </c>
      <c r="G61" s="62" t="s">
        <v>28</v>
      </c>
    </row>
    <row r="62" spans="1:7" x14ac:dyDescent="0.25">
      <c r="C62" s="23"/>
      <c r="E62" s="23"/>
    </row>
    <row r="63" spans="1:7" ht="20.25" x14ac:dyDescent="0.3">
      <c r="B63" s="150" t="s">
        <v>14</v>
      </c>
      <c r="C63" s="23" t="s">
        <v>0</v>
      </c>
      <c r="E63" s="23" t="s">
        <v>0</v>
      </c>
      <c r="F63" s="114"/>
      <c r="G63" s="12" t="s">
        <v>0</v>
      </c>
    </row>
    <row r="64" spans="1:7" x14ac:dyDescent="0.25">
      <c r="B64" s="2"/>
      <c r="C64" s="23"/>
      <c r="E64" s="23"/>
      <c r="F64" s="114"/>
    </row>
    <row r="65" spans="1:7" x14ac:dyDescent="0.25">
      <c r="B65" s="4" t="s">
        <v>6</v>
      </c>
      <c r="C65" s="23">
        <v>2071200</v>
      </c>
      <c r="D65" s="23"/>
      <c r="E65" s="23">
        <f>2071200+555900-7200+76400-21200+219500-68300+131700</f>
        <v>2958000</v>
      </c>
      <c r="F65" s="114"/>
      <c r="G65" s="103">
        <f t="shared" ref="G65:G70" si="2">C65-E65</f>
        <v>-886800</v>
      </c>
    </row>
    <row r="66" spans="1:7" x14ac:dyDescent="0.25">
      <c r="B66" s="4" t="s">
        <v>25</v>
      </c>
      <c r="C66" s="12">
        <v>900200</v>
      </c>
      <c r="D66" s="12"/>
      <c r="E66" s="12">
        <f>900200+171900</f>
        <v>1072100</v>
      </c>
      <c r="F66" s="114"/>
      <c r="G66" s="103">
        <f t="shared" si="2"/>
        <v>-171900</v>
      </c>
    </row>
    <row r="67" spans="1:7" x14ac:dyDescent="0.25">
      <c r="B67" s="4" t="s">
        <v>56</v>
      </c>
      <c r="C67" s="158">
        <v>146100</v>
      </c>
      <c r="D67" s="158"/>
      <c r="E67" s="158">
        <f>146100+30000-15600</f>
        <v>160500</v>
      </c>
      <c r="F67" s="114"/>
      <c r="G67" s="103">
        <f t="shared" si="2"/>
        <v>-14400</v>
      </c>
    </row>
    <row r="68" spans="1:7" x14ac:dyDescent="0.25">
      <c r="B68" s="4" t="s">
        <v>57</v>
      </c>
      <c r="C68" s="12">
        <v>204500</v>
      </c>
      <c r="D68" s="12"/>
      <c r="E68" s="12">
        <v>204500</v>
      </c>
      <c r="F68" s="114"/>
      <c r="G68" s="103">
        <f t="shared" si="2"/>
        <v>0</v>
      </c>
    </row>
    <row r="69" spans="1:7" x14ac:dyDescent="0.25">
      <c r="B69" s="4" t="s">
        <v>70</v>
      </c>
      <c r="C69" s="12">
        <v>0</v>
      </c>
      <c r="D69" s="12"/>
      <c r="E69" s="12">
        <f>215000-50000</f>
        <v>165000</v>
      </c>
      <c r="F69" s="114"/>
      <c r="G69" s="103">
        <f t="shared" si="2"/>
        <v>-165000</v>
      </c>
    </row>
    <row r="70" spans="1:7" x14ac:dyDescent="0.25">
      <c r="B70" s="7" t="s">
        <v>203</v>
      </c>
      <c r="C70" s="112">
        <v>131000</v>
      </c>
      <c r="D70" s="112"/>
      <c r="E70" s="112">
        <v>0</v>
      </c>
      <c r="F70" s="114"/>
      <c r="G70" s="126">
        <f t="shared" si="2"/>
        <v>131000</v>
      </c>
    </row>
    <row r="71" spans="1:7" x14ac:dyDescent="0.25">
      <c r="C71" s="23"/>
      <c r="D71" s="23"/>
      <c r="E71" s="23"/>
      <c r="F71" s="114"/>
    </row>
    <row r="72" spans="1:7" s="6" customFormat="1" x14ac:dyDescent="0.25">
      <c r="B72" s="6" t="s">
        <v>7</v>
      </c>
      <c r="C72" s="23">
        <f>SUM(C64:C70)</f>
        <v>3453000</v>
      </c>
      <c r="D72" s="23"/>
      <c r="E72" s="23">
        <f>SUM(E64:E70)</f>
        <v>4560100</v>
      </c>
      <c r="F72" s="114"/>
      <c r="G72" s="103">
        <f>C72-E72</f>
        <v>-1107100</v>
      </c>
    </row>
    <row r="73" spans="1:7" x14ac:dyDescent="0.25">
      <c r="C73" s="23"/>
      <c r="D73" s="23"/>
      <c r="E73" s="23"/>
      <c r="F73" s="114"/>
    </row>
    <row r="74" spans="1:7" x14ac:dyDescent="0.25">
      <c r="B74" s="1" t="s">
        <v>26</v>
      </c>
      <c r="C74" s="113">
        <v>238000</v>
      </c>
      <c r="D74" s="113"/>
      <c r="E74" s="113">
        <f>238000+870000+11000+170000</f>
        <v>1289000</v>
      </c>
      <c r="F74" s="114"/>
      <c r="G74" s="103">
        <f>E74-C74</f>
        <v>1051000</v>
      </c>
    </row>
    <row r="75" spans="1:7" x14ac:dyDescent="0.25">
      <c r="B75" s="1" t="s">
        <v>184</v>
      </c>
      <c r="C75" s="113">
        <v>372100</v>
      </c>
      <c r="D75" s="113"/>
      <c r="E75" s="113">
        <f>372100+10200-300</f>
        <v>382000</v>
      </c>
      <c r="F75" s="114"/>
      <c r="G75" s="103">
        <f>E75-C75</f>
        <v>9900</v>
      </c>
    </row>
    <row r="76" spans="1:7" x14ac:dyDescent="0.25">
      <c r="B76" s="1" t="s">
        <v>84</v>
      </c>
      <c r="C76" s="113">
        <v>90000</v>
      </c>
      <c r="D76" s="114"/>
      <c r="E76" s="113">
        <f>188000-188000</f>
        <v>0</v>
      </c>
      <c r="F76" s="114"/>
      <c r="G76" s="103">
        <f>E76-C76</f>
        <v>-90000</v>
      </c>
    </row>
    <row r="77" spans="1:7" x14ac:dyDescent="0.25">
      <c r="A77" s="1"/>
      <c r="B77" s="1"/>
      <c r="C77" s="112"/>
      <c r="D77" s="114"/>
      <c r="E77" s="112"/>
      <c r="F77" s="114"/>
      <c r="G77" s="126"/>
    </row>
    <row r="78" spans="1:7" x14ac:dyDescent="0.25">
      <c r="A78" s="1"/>
      <c r="B78" s="1"/>
      <c r="C78" s="113"/>
      <c r="D78" s="114"/>
      <c r="E78" s="113"/>
      <c r="F78" s="114"/>
    </row>
    <row r="79" spans="1:7" x14ac:dyDescent="0.25">
      <c r="A79" s="1"/>
      <c r="B79" s="13" t="s">
        <v>58</v>
      </c>
      <c r="C79" s="113">
        <f>SUM(C74:C78)</f>
        <v>700100</v>
      </c>
      <c r="D79" s="114"/>
      <c r="E79" s="113">
        <f>SUM(E74:E78)</f>
        <v>1671000</v>
      </c>
      <c r="F79" s="114"/>
      <c r="G79" s="103">
        <f>E79-C79</f>
        <v>970900</v>
      </c>
    </row>
    <row r="80" spans="1:7" x14ac:dyDescent="0.25">
      <c r="A80" s="1"/>
      <c r="B80" s="1"/>
      <c r="C80" s="112"/>
      <c r="D80" s="114"/>
      <c r="E80" s="112"/>
      <c r="F80" s="114"/>
      <c r="G80" s="126"/>
    </row>
    <row r="81" spans="1:7" x14ac:dyDescent="0.25">
      <c r="C81" s="113"/>
      <c r="E81" s="113"/>
      <c r="F81" s="114"/>
      <c r="G81" s="113"/>
    </row>
    <row r="82" spans="1:7" s="6" customFormat="1" x14ac:dyDescent="0.25">
      <c r="B82" s="11" t="s">
        <v>55</v>
      </c>
      <c r="C82" s="113">
        <f>C72-C79</f>
        <v>2752900</v>
      </c>
      <c r="D82" s="12"/>
      <c r="E82" s="113">
        <f>E72-E79</f>
        <v>2889100</v>
      </c>
      <c r="F82" s="114"/>
      <c r="G82" s="113">
        <f>C82-E82</f>
        <v>-136200</v>
      </c>
    </row>
    <row r="83" spans="1:7" ht="18.75" thickBot="1" x14ac:dyDescent="0.3">
      <c r="C83" s="116"/>
      <c r="E83" s="116"/>
      <c r="F83" s="114"/>
      <c r="G83" s="116"/>
    </row>
    <row r="84" spans="1:7" ht="18.75" thickTop="1" x14ac:dyDescent="0.25">
      <c r="B84" s="6"/>
      <c r="C84" s="102"/>
      <c r="E84" s="102"/>
    </row>
    <row r="85" spans="1:7" x14ac:dyDescent="0.25">
      <c r="B85" s="19"/>
    </row>
    <row r="86" spans="1:7" ht="39.75" customHeight="1" x14ac:dyDescent="0.25">
      <c r="B86" s="224" t="s">
        <v>20</v>
      </c>
      <c r="C86" s="225"/>
      <c r="D86" s="225"/>
      <c r="E86" s="225"/>
      <c r="F86" s="225"/>
      <c r="G86" s="226"/>
    </row>
    <row r="89" spans="1:7" x14ac:dyDescent="0.25">
      <c r="A89" s="5"/>
      <c r="B89" s="26"/>
      <c r="C89" s="104" t="s">
        <v>200</v>
      </c>
      <c r="E89" s="104" t="s">
        <v>212</v>
      </c>
      <c r="G89" s="52"/>
    </row>
    <row r="90" spans="1:7" x14ac:dyDescent="0.25">
      <c r="C90" s="105" t="s">
        <v>95</v>
      </c>
      <c r="E90" s="105" t="s">
        <v>40</v>
      </c>
      <c r="G90" s="61" t="s">
        <v>41</v>
      </c>
    </row>
    <row r="91" spans="1:7" x14ac:dyDescent="0.25">
      <c r="B91" s="3"/>
      <c r="C91" s="106" t="s">
        <v>42</v>
      </c>
      <c r="E91" s="106" t="s">
        <v>42</v>
      </c>
      <c r="G91" s="62" t="s">
        <v>28</v>
      </c>
    </row>
    <row r="92" spans="1:7" x14ac:dyDescent="0.25">
      <c r="C92" s="23"/>
      <c r="E92" s="23"/>
    </row>
    <row r="93" spans="1:7" ht="20.25" x14ac:dyDescent="0.3">
      <c r="B93" s="118" t="s">
        <v>76</v>
      </c>
      <c r="C93" s="23" t="s">
        <v>0</v>
      </c>
      <c r="E93" s="23" t="s">
        <v>0</v>
      </c>
      <c r="G93" s="12" t="s">
        <v>0</v>
      </c>
    </row>
    <row r="94" spans="1:7" x14ac:dyDescent="0.25">
      <c r="C94" s="23"/>
      <c r="E94" s="23"/>
    </row>
    <row r="95" spans="1:7" x14ac:dyDescent="0.25">
      <c r="B95" s="4" t="s">
        <v>6</v>
      </c>
      <c r="C95" s="23">
        <v>93600</v>
      </c>
      <c r="E95" s="23">
        <f>93600-100+400+4300</f>
        <v>98200</v>
      </c>
      <c r="G95" s="103">
        <f>C95-E95</f>
        <v>-4600</v>
      </c>
    </row>
    <row r="96" spans="1:7" x14ac:dyDescent="0.25">
      <c r="B96" s="4" t="s">
        <v>25</v>
      </c>
      <c r="C96" s="12">
        <v>42400</v>
      </c>
      <c r="E96" s="12">
        <f>42400-1100</f>
        <v>41300</v>
      </c>
      <c r="G96" s="103">
        <f t="shared" ref="G96:G101" si="3">C96-E96</f>
        <v>1100</v>
      </c>
    </row>
    <row r="97" spans="1:7" x14ac:dyDescent="0.25">
      <c r="B97" s="4" t="s">
        <v>56</v>
      </c>
      <c r="C97" s="12">
        <v>278800</v>
      </c>
      <c r="E97" s="12">
        <f>278800-1300-800</f>
        <v>276700</v>
      </c>
      <c r="G97" s="103">
        <f t="shared" si="3"/>
        <v>2100</v>
      </c>
    </row>
    <row r="98" spans="1:7" x14ac:dyDescent="0.25">
      <c r="B98" s="4" t="s">
        <v>70</v>
      </c>
      <c r="C98" s="12">
        <v>0</v>
      </c>
      <c r="E98" s="12">
        <f>15000-5000</f>
        <v>10000</v>
      </c>
      <c r="G98" s="103">
        <f t="shared" si="3"/>
        <v>-10000</v>
      </c>
    </row>
    <row r="99" spans="1:7" x14ac:dyDescent="0.25">
      <c r="B99" s="7"/>
      <c r="C99" s="112">
        <v>0</v>
      </c>
      <c r="E99" s="112">
        <v>0</v>
      </c>
      <c r="G99" s="126">
        <f t="shared" si="3"/>
        <v>0</v>
      </c>
    </row>
    <row r="100" spans="1:7" x14ac:dyDescent="0.25">
      <c r="C100" s="23"/>
      <c r="E100" s="23"/>
    </row>
    <row r="101" spans="1:7" s="6" customFormat="1" x14ac:dyDescent="0.25">
      <c r="B101" s="6" t="s">
        <v>7</v>
      </c>
      <c r="C101" s="23">
        <f>SUM(C94:C100)</f>
        <v>414800</v>
      </c>
      <c r="D101" s="12"/>
      <c r="E101" s="23">
        <f>SUM(E94:E100)</f>
        <v>426200</v>
      </c>
      <c r="F101" s="12"/>
      <c r="G101" s="103">
        <f t="shared" si="3"/>
        <v>-11400</v>
      </c>
    </row>
    <row r="102" spans="1:7" x14ac:dyDescent="0.25">
      <c r="C102" s="23"/>
      <c r="E102" s="23"/>
    </row>
    <row r="103" spans="1:7" x14ac:dyDescent="0.25">
      <c r="B103" s="4" t="s">
        <v>26</v>
      </c>
      <c r="C103" s="115">
        <v>658000</v>
      </c>
      <c r="E103" s="115">
        <f>658000+18700</f>
        <v>676700</v>
      </c>
      <c r="G103" s="12">
        <f>E103-C103</f>
        <v>18700</v>
      </c>
    </row>
    <row r="104" spans="1:7" s="1" customFormat="1" x14ac:dyDescent="0.25">
      <c r="C104" s="112"/>
      <c r="D104" s="114"/>
      <c r="E104" s="112"/>
      <c r="F104" s="114"/>
      <c r="G104" s="126"/>
    </row>
    <row r="105" spans="1:7" x14ac:dyDescent="0.25">
      <c r="C105" s="113"/>
      <c r="E105" s="113"/>
      <c r="G105" s="113"/>
    </row>
    <row r="106" spans="1:7" x14ac:dyDescent="0.25">
      <c r="A106" s="6"/>
      <c r="B106" s="11" t="s">
        <v>55</v>
      </c>
      <c r="C106" s="23">
        <f>+C101-C103</f>
        <v>-243200</v>
      </c>
      <c r="D106" s="12"/>
      <c r="E106" s="23">
        <f>+E101-E103</f>
        <v>-250500</v>
      </c>
      <c r="G106" s="23">
        <f>C106-E106</f>
        <v>7300</v>
      </c>
    </row>
    <row r="107" spans="1:7" ht="22.5" customHeight="1" thickBot="1" x14ac:dyDescent="0.3">
      <c r="A107" s="6"/>
      <c r="B107" s="13"/>
      <c r="C107" s="110"/>
      <c r="D107" s="12"/>
      <c r="E107" s="110"/>
      <c r="G107" s="110"/>
    </row>
    <row r="108" spans="1:7" ht="22.5" customHeight="1" thickTop="1" x14ac:dyDescent="0.25">
      <c r="A108" s="6"/>
      <c r="B108" s="13"/>
      <c r="C108" s="113"/>
      <c r="D108" s="12"/>
      <c r="E108" s="113"/>
    </row>
    <row r="109" spans="1:7" ht="22.5" customHeight="1" x14ac:dyDescent="0.25">
      <c r="A109" s="6"/>
      <c r="B109" s="13"/>
      <c r="C109" s="113"/>
      <c r="D109" s="12"/>
      <c r="E109" s="113"/>
    </row>
    <row r="110" spans="1:7" ht="41.25" customHeight="1" x14ac:dyDescent="0.25">
      <c r="B110" s="224" t="s">
        <v>20</v>
      </c>
      <c r="C110" s="225"/>
      <c r="D110" s="225"/>
      <c r="E110" s="225"/>
      <c r="F110" s="225"/>
      <c r="G110" s="226"/>
    </row>
    <row r="111" spans="1:7" x14ac:dyDescent="0.25">
      <c r="B111" s="19"/>
    </row>
    <row r="112" spans="1:7" x14ac:dyDescent="0.25">
      <c r="B112" s="19"/>
    </row>
    <row r="113" spans="1:7" x14ac:dyDescent="0.25">
      <c r="A113" s="5"/>
      <c r="B113" s="26"/>
      <c r="C113" s="104" t="s">
        <v>200</v>
      </c>
      <c r="E113" s="104" t="s">
        <v>212</v>
      </c>
      <c r="G113" s="52"/>
    </row>
    <row r="114" spans="1:7" x14ac:dyDescent="0.25">
      <c r="B114" s="152"/>
      <c r="C114" s="105" t="s">
        <v>95</v>
      </c>
      <c r="E114" s="105" t="s">
        <v>40</v>
      </c>
      <c r="G114" s="61" t="s">
        <v>41</v>
      </c>
    </row>
    <row r="115" spans="1:7" x14ac:dyDescent="0.25">
      <c r="C115" s="106" t="s">
        <v>42</v>
      </c>
      <c r="E115" s="106" t="s">
        <v>42</v>
      </c>
      <c r="G115" s="62" t="s">
        <v>28</v>
      </c>
    </row>
    <row r="116" spans="1:7" x14ac:dyDescent="0.25">
      <c r="B116" s="19"/>
      <c r="C116" s="23"/>
      <c r="E116" s="23"/>
    </row>
    <row r="117" spans="1:7" ht="20.25" x14ac:dyDescent="0.3">
      <c r="B117" s="160" t="s">
        <v>5</v>
      </c>
      <c r="C117" s="23" t="s">
        <v>0</v>
      </c>
      <c r="E117" s="23" t="s">
        <v>0</v>
      </c>
      <c r="G117" s="12" t="s">
        <v>0</v>
      </c>
    </row>
    <row r="118" spans="1:7" x14ac:dyDescent="0.25">
      <c r="B118" s="153"/>
      <c r="C118" s="23"/>
      <c r="E118" s="23"/>
    </row>
    <row r="119" spans="1:7" x14ac:dyDescent="0.25">
      <c r="B119" s="4" t="s">
        <v>6</v>
      </c>
      <c r="C119" s="23">
        <v>1050000</v>
      </c>
      <c r="E119" s="23">
        <f>1050000-15600-3300-7800-38000+45800</f>
        <v>1031100</v>
      </c>
      <c r="G119" s="103">
        <f>C119-E119</f>
        <v>18900</v>
      </c>
    </row>
    <row r="120" spans="1:7" x14ac:dyDescent="0.25">
      <c r="B120" s="4" t="s">
        <v>25</v>
      </c>
      <c r="C120" s="12">
        <v>229300</v>
      </c>
      <c r="E120" s="12">
        <f>229300-3400</f>
        <v>225900</v>
      </c>
      <c r="G120" s="103">
        <f t="shared" ref="G120:G131" si="4">C120-E120</f>
        <v>3400</v>
      </c>
    </row>
    <row r="121" spans="1:7" x14ac:dyDescent="0.25">
      <c r="B121" s="4" t="s">
        <v>56</v>
      </c>
      <c r="C121" s="12">
        <v>46600</v>
      </c>
      <c r="E121" s="12">
        <f>46600+3000-6900</f>
        <v>42700</v>
      </c>
      <c r="G121" s="103">
        <f t="shared" si="4"/>
        <v>3900</v>
      </c>
    </row>
    <row r="122" spans="1:7" x14ac:dyDescent="0.25">
      <c r="B122" s="20" t="s">
        <v>57</v>
      </c>
      <c r="C122" s="115">
        <v>100000</v>
      </c>
      <c r="D122" s="114"/>
      <c r="E122" s="115">
        <f>100000+1700</f>
        <v>101700</v>
      </c>
      <c r="F122" s="114"/>
      <c r="G122" s="103">
        <f t="shared" si="4"/>
        <v>-1700</v>
      </c>
    </row>
    <row r="123" spans="1:7" x14ac:dyDescent="0.25">
      <c r="B123" s="4" t="s">
        <v>70</v>
      </c>
      <c r="C123" s="115">
        <v>0</v>
      </c>
      <c r="D123" s="114"/>
      <c r="E123" s="115">
        <f>60000-10000</f>
        <v>50000</v>
      </c>
      <c r="F123" s="114"/>
      <c r="G123" s="103">
        <f t="shared" si="4"/>
        <v>-50000</v>
      </c>
    </row>
    <row r="124" spans="1:7" x14ac:dyDescent="0.25">
      <c r="B124" s="7"/>
      <c r="C124" s="159"/>
      <c r="E124" s="159"/>
      <c r="G124" s="126"/>
    </row>
    <row r="125" spans="1:7" x14ac:dyDescent="0.25">
      <c r="B125" s="19"/>
      <c r="C125" s="23"/>
      <c r="E125" s="23"/>
    </row>
    <row r="126" spans="1:7" s="6" customFormat="1" x14ac:dyDescent="0.25">
      <c r="B126" s="6" t="s">
        <v>7</v>
      </c>
      <c r="C126" s="23">
        <f>SUM(C118:C124)</f>
        <v>1425900</v>
      </c>
      <c r="D126" s="12"/>
      <c r="E126" s="23">
        <f>SUM(E118:E124)</f>
        <v>1451400</v>
      </c>
      <c r="F126" s="12"/>
      <c r="G126" s="103">
        <f t="shared" si="4"/>
        <v>-25500</v>
      </c>
    </row>
    <row r="127" spans="1:7" x14ac:dyDescent="0.25">
      <c r="B127" s="154"/>
      <c r="C127" s="23"/>
      <c r="E127" s="23"/>
    </row>
    <row r="128" spans="1:7" x14ac:dyDescent="0.25">
      <c r="B128" s="19" t="s">
        <v>26</v>
      </c>
      <c r="C128" s="113">
        <v>65900</v>
      </c>
      <c r="D128" s="114"/>
      <c r="E128" s="113">
        <f>65900+9800</f>
        <v>75700</v>
      </c>
      <c r="G128" s="103">
        <f>E128-C128</f>
        <v>9800</v>
      </c>
    </row>
    <row r="129" spans="1:7" x14ac:dyDescent="0.25">
      <c r="C129" s="10"/>
      <c r="D129" s="4"/>
      <c r="E129" s="10"/>
      <c r="G129" s="126"/>
    </row>
    <row r="130" spans="1:7" x14ac:dyDescent="0.25">
      <c r="B130" s="19"/>
      <c r="C130" s="113"/>
      <c r="E130" s="113"/>
    </row>
    <row r="131" spans="1:7" s="6" customFormat="1" x14ac:dyDescent="0.25">
      <c r="B131" s="11" t="s">
        <v>55</v>
      </c>
      <c r="C131" s="113">
        <f>+C126-C128</f>
        <v>1360000</v>
      </c>
      <c r="D131" s="12"/>
      <c r="E131" s="113">
        <f>+E126-E128</f>
        <v>1375700</v>
      </c>
      <c r="F131" s="12"/>
      <c r="G131" s="103">
        <f t="shared" si="4"/>
        <v>-15700</v>
      </c>
    </row>
    <row r="132" spans="1:7" ht="18.75" thickBot="1" x14ac:dyDescent="0.3">
      <c r="B132" s="13"/>
      <c r="C132" s="116"/>
      <c r="E132" s="116"/>
      <c r="G132" s="116"/>
    </row>
    <row r="133" spans="1:7" ht="15" customHeight="1" thickTop="1" x14ac:dyDescent="0.25">
      <c r="B133" s="19"/>
      <c r="C133" s="102"/>
      <c r="E133" s="102"/>
    </row>
    <row r="134" spans="1:7" ht="15" customHeight="1" x14ac:dyDescent="0.25">
      <c r="B134" s="19"/>
      <c r="C134" s="102"/>
      <c r="E134" s="102"/>
    </row>
    <row r="135" spans="1:7" ht="42" customHeight="1" x14ac:dyDescent="0.25">
      <c r="B135" s="224" t="s">
        <v>20</v>
      </c>
      <c r="C135" s="225"/>
      <c r="D135" s="225"/>
      <c r="E135" s="225"/>
      <c r="F135" s="225"/>
      <c r="G135" s="226"/>
    </row>
    <row r="136" spans="1:7" ht="23.25" customHeight="1" x14ac:dyDescent="0.25">
      <c r="B136" s="161"/>
      <c r="C136" s="161"/>
      <c r="D136" s="161"/>
      <c r="E136" s="161"/>
      <c r="F136" s="161"/>
      <c r="G136" s="161"/>
    </row>
    <row r="137" spans="1:7" x14ac:dyDescent="0.25">
      <c r="C137" s="23"/>
      <c r="E137" s="23"/>
    </row>
    <row r="138" spans="1:7" x14ac:dyDescent="0.25">
      <c r="A138" s="5"/>
      <c r="B138" s="26"/>
      <c r="C138" s="104" t="s">
        <v>200</v>
      </c>
      <c r="E138" s="104" t="s">
        <v>212</v>
      </c>
      <c r="G138" s="52"/>
    </row>
    <row r="139" spans="1:7" ht="15" customHeight="1" x14ac:dyDescent="0.25">
      <c r="C139" s="105" t="s">
        <v>95</v>
      </c>
      <c r="E139" s="105" t="s">
        <v>40</v>
      </c>
      <c r="G139" s="61" t="s">
        <v>41</v>
      </c>
    </row>
    <row r="140" spans="1:7" x14ac:dyDescent="0.25">
      <c r="A140" s="1"/>
      <c r="C140" s="106" t="s">
        <v>42</v>
      </c>
      <c r="E140" s="106" t="s">
        <v>42</v>
      </c>
      <c r="G140" s="62" t="s">
        <v>28</v>
      </c>
    </row>
    <row r="141" spans="1:7" ht="15" customHeight="1" x14ac:dyDescent="0.25">
      <c r="C141" s="23"/>
      <c r="E141" s="23"/>
    </row>
    <row r="142" spans="1:7" ht="25.5" customHeight="1" x14ac:dyDescent="0.3">
      <c r="A142" s="5"/>
      <c r="B142" s="117" t="s">
        <v>77</v>
      </c>
      <c r="C142" s="23" t="s">
        <v>0</v>
      </c>
      <c r="E142" s="23" t="s">
        <v>0</v>
      </c>
      <c r="G142" s="12" t="s">
        <v>0</v>
      </c>
    </row>
    <row r="143" spans="1:7" ht="18.75" customHeight="1" x14ac:dyDescent="0.25">
      <c r="A143" s="1"/>
      <c r="C143" s="113"/>
      <c r="E143" s="113"/>
    </row>
    <row r="144" spans="1:7" ht="21.75" customHeight="1" x14ac:dyDescent="0.25">
      <c r="B144" s="4" t="s">
        <v>81</v>
      </c>
      <c r="C144" s="23">
        <v>102800</v>
      </c>
      <c r="E144" s="23">
        <f>102800+900</f>
        <v>103700</v>
      </c>
      <c r="G144" s="114">
        <f>C144-E144</f>
        <v>-900</v>
      </c>
    </row>
    <row r="145" spans="1:7" ht="17.25" customHeight="1" x14ac:dyDescent="0.25">
      <c r="B145" s="4" t="s">
        <v>56</v>
      </c>
      <c r="C145" s="23">
        <v>13700</v>
      </c>
      <c r="E145" s="23">
        <f>13700-8800</f>
        <v>4900</v>
      </c>
      <c r="G145" s="114">
        <f>C145-E145</f>
        <v>8800</v>
      </c>
    </row>
    <row r="146" spans="1:7" x14ac:dyDescent="0.25">
      <c r="B146" s="20" t="s">
        <v>57</v>
      </c>
      <c r="C146" s="113">
        <v>891800</v>
      </c>
      <c r="D146" s="114"/>
      <c r="E146" s="113">
        <f>891800+37500</f>
        <v>929300</v>
      </c>
      <c r="F146" s="114"/>
      <c r="G146" s="114">
        <f>C146-E146</f>
        <v>-37500</v>
      </c>
    </row>
    <row r="147" spans="1:7" x14ac:dyDescent="0.25">
      <c r="A147" s="1"/>
      <c r="B147" s="4" t="s">
        <v>70</v>
      </c>
      <c r="C147" s="112">
        <v>30000</v>
      </c>
      <c r="E147" s="112">
        <v>30000</v>
      </c>
      <c r="G147" s="126">
        <f>C147-E147</f>
        <v>0</v>
      </c>
    </row>
    <row r="148" spans="1:7" ht="24" customHeight="1" x14ac:dyDescent="0.25">
      <c r="A148" s="8"/>
      <c r="B148" s="1"/>
      <c r="C148" s="113"/>
      <c r="D148" s="114"/>
      <c r="E148" s="113"/>
      <c r="F148" s="114"/>
    </row>
    <row r="149" spans="1:7" ht="24" customHeight="1" x14ac:dyDescent="0.25">
      <c r="A149" s="8"/>
      <c r="B149" s="11" t="s">
        <v>67</v>
      </c>
      <c r="C149" s="113">
        <f>SUM(C143:C147)</f>
        <v>1038300</v>
      </c>
      <c r="D149" s="115"/>
      <c r="E149" s="113">
        <f>SUM(E143:E147)</f>
        <v>1067900</v>
      </c>
      <c r="F149" s="12"/>
      <c r="G149" s="12">
        <f>C149-E149</f>
        <v>-29600</v>
      </c>
    </row>
    <row r="150" spans="1:7" ht="21" customHeight="1" x14ac:dyDescent="0.25">
      <c r="A150" s="8"/>
      <c r="B150" s="6"/>
      <c r="C150" s="113"/>
      <c r="E150" s="113"/>
    </row>
    <row r="151" spans="1:7" ht="22.5" customHeight="1" x14ac:dyDescent="0.25">
      <c r="B151" s="4" t="s">
        <v>26</v>
      </c>
      <c r="C151" s="113">
        <f>30000-16000</f>
        <v>14000</v>
      </c>
      <c r="E151" s="113">
        <f>14000+3000</f>
        <v>17000</v>
      </c>
      <c r="G151" s="103">
        <f>E151-C151</f>
        <v>3000</v>
      </c>
    </row>
    <row r="152" spans="1:7" ht="22.5" customHeight="1" x14ac:dyDescent="0.25">
      <c r="B152" s="4" t="s">
        <v>59</v>
      </c>
      <c r="C152" s="113">
        <v>16000</v>
      </c>
      <c r="E152" s="113">
        <v>16000</v>
      </c>
    </row>
    <row r="153" spans="1:7" ht="22.5" customHeight="1" x14ac:dyDescent="0.25">
      <c r="B153" s="4" t="s">
        <v>166</v>
      </c>
      <c r="C153" s="113">
        <v>9400</v>
      </c>
      <c r="E153" s="113">
        <v>9400</v>
      </c>
      <c r="G153" s="103">
        <f>E153-C153</f>
        <v>0</v>
      </c>
    </row>
    <row r="154" spans="1:7" ht="22.5" customHeight="1" x14ac:dyDescent="0.25">
      <c r="B154" s="9" t="s">
        <v>85</v>
      </c>
      <c r="C154" s="113">
        <v>53300</v>
      </c>
      <c r="E154" s="113">
        <f>53300+7900+1900</f>
        <v>63100</v>
      </c>
      <c r="G154" s="126">
        <f>E154-C154</f>
        <v>9800</v>
      </c>
    </row>
    <row r="155" spans="1:7" x14ac:dyDescent="0.25">
      <c r="A155" s="8"/>
      <c r="C155" s="109"/>
      <c r="E155" s="109"/>
    </row>
    <row r="156" spans="1:7" ht="25.5" customHeight="1" x14ac:dyDescent="0.25">
      <c r="A156" s="8"/>
      <c r="B156" s="6" t="s">
        <v>58</v>
      </c>
      <c r="C156" s="113">
        <f>SUM(C151:C155)</f>
        <v>92700</v>
      </c>
      <c r="D156" s="114"/>
      <c r="E156" s="113">
        <f>SUM(E151:E155)</f>
        <v>105500</v>
      </c>
      <c r="G156" s="12">
        <f>E156-C156</f>
        <v>12800</v>
      </c>
    </row>
    <row r="157" spans="1:7" x14ac:dyDescent="0.25">
      <c r="A157" s="8"/>
      <c r="B157" s="6"/>
      <c r="C157" s="113"/>
      <c r="D157" s="114"/>
      <c r="E157" s="113"/>
      <c r="G157" s="126"/>
    </row>
    <row r="158" spans="1:7" x14ac:dyDescent="0.25">
      <c r="A158" s="125"/>
      <c r="B158" s="15"/>
      <c r="C158" s="109"/>
      <c r="D158" s="114"/>
      <c r="E158" s="109"/>
      <c r="F158" s="114"/>
    </row>
    <row r="159" spans="1:7" ht="24.75" customHeight="1" x14ac:dyDescent="0.25">
      <c r="A159" s="155"/>
      <c r="B159" s="11" t="s">
        <v>55</v>
      </c>
      <c r="C159" s="113">
        <f>C149-C156</f>
        <v>945600</v>
      </c>
      <c r="D159" s="115"/>
      <c r="E159" s="113">
        <f>E149-E156</f>
        <v>962400</v>
      </c>
      <c r="F159" s="114"/>
      <c r="G159" s="113">
        <f>C159-E159</f>
        <v>-16800</v>
      </c>
    </row>
    <row r="160" spans="1:7" ht="18.75" thickBot="1" x14ac:dyDescent="0.3">
      <c r="C160" s="103"/>
      <c r="E160" s="103"/>
      <c r="F160" s="115"/>
    </row>
    <row r="161" spans="1:7" ht="18.75" thickTop="1" x14ac:dyDescent="0.25">
      <c r="A161" s="8"/>
      <c r="B161" s="1"/>
      <c r="C161" s="146"/>
      <c r="D161" s="114"/>
      <c r="E161" s="146"/>
      <c r="F161" s="114"/>
      <c r="G161" s="146"/>
    </row>
    <row r="162" spans="1:7" ht="15" customHeight="1" x14ac:dyDescent="0.25">
      <c r="B162" s="19"/>
      <c r="C162" s="102"/>
      <c r="E162" s="102"/>
    </row>
    <row r="163" spans="1:7" ht="41.25" customHeight="1" x14ac:dyDescent="0.25">
      <c r="B163" s="224" t="s">
        <v>20</v>
      </c>
      <c r="C163" s="225"/>
      <c r="D163" s="225"/>
      <c r="E163" s="225"/>
      <c r="F163" s="225"/>
      <c r="G163" s="226"/>
    </row>
    <row r="164" spans="1:7" ht="19.5" customHeight="1" x14ac:dyDescent="0.25">
      <c r="B164" s="161"/>
      <c r="C164" s="161"/>
      <c r="D164" s="161"/>
      <c r="E164" s="161"/>
      <c r="F164" s="161"/>
      <c r="G164" s="161"/>
    </row>
    <row r="165" spans="1:7" x14ac:dyDescent="0.25">
      <c r="C165" s="23"/>
      <c r="E165" s="23"/>
    </row>
    <row r="166" spans="1:7" x14ac:dyDescent="0.25">
      <c r="A166" s="5"/>
      <c r="B166" s="26"/>
      <c r="C166" s="104" t="s">
        <v>200</v>
      </c>
      <c r="E166" s="104" t="s">
        <v>212</v>
      </c>
      <c r="G166" s="52"/>
    </row>
    <row r="167" spans="1:7" x14ac:dyDescent="0.25">
      <c r="C167" s="105" t="s">
        <v>95</v>
      </c>
      <c r="E167" s="105" t="s">
        <v>40</v>
      </c>
      <c r="G167" s="61" t="s">
        <v>41</v>
      </c>
    </row>
    <row r="168" spans="1:7" x14ac:dyDescent="0.25">
      <c r="A168" s="1"/>
      <c r="C168" s="106" t="s">
        <v>42</v>
      </c>
      <c r="E168" s="106" t="s">
        <v>42</v>
      </c>
      <c r="G168" s="62" t="s">
        <v>28</v>
      </c>
    </row>
    <row r="169" spans="1:7" x14ac:dyDescent="0.25">
      <c r="C169" s="23"/>
      <c r="E169" s="23"/>
    </row>
    <row r="170" spans="1:7" ht="20.25" x14ac:dyDescent="0.3">
      <c r="A170" s="5"/>
      <c r="B170" s="117" t="s">
        <v>78</v>
      </c>
      <c r="C170" s="23" t="s">
        <v>0</v>
      </c>
      <c r="E170" s="23" t="s">
        <v>0</v>
      </c>
      <c r="G170" s="12" t="s">
        <v>0</v>
      </c>
    </row>
    <row r="171" spans="1:7" x14ac:dyDescent="0.25">
      <c r="A171" s="1"/>
      <c r="C171" s="113"/>
      <c r="E171" s="113"/>
    </row>
    <row r="172" spans="1:7" x14ac:dyDescent="0.25">
      <c r="B172" s="4" t="s">
        <v>6</v>
      </c>
      <c r="C172" s="23">
        <v>381700</v>
      </c>
      <c r="E172" s="23">
        <f>381700+6700+6800-18100+9000+12300</f>
        <v>398400</v>
      </c>
      <c r="G172" s="114">
        <f>C172-E172</f>
        <v>-16700</v>
      </c>
    </row>
    <row r="173" spans="1:7" x14ac:dyDescent="0.25">
      <c r="B173" s="4" t="s">
        <v>81</v>
      </c>
      <c r="C173" s="23">
        <v>9100</v>
      </c>
      <c r="E173" s="23">
        <f>9100-1100-1000</f>
        <v>7000</v>
      </c>
      <c r="G173" s="114">
        <f t="shared" ref="G173:G180" si="5">C173-E173</f>
        <v>2100</v>
      </c>
    </row>
    <row r="174" spans="1:7" x14ac:dyDescent="0.25">
      <c r="B174" s="4" t="s">
        <v>25</v>
      </c>
      <c r="C174" s="113">
        <v>5100</v>
      </c>
      <c r="E174" s="113">
        <f>5100-1000</f>
        <v>4100</v>
      </c>
      <c r="G174" s="114">
        <f t="shared" si="5"/>
        <v>1000</v>
      </c>
    </row>
    <row r="175" spans="1:7" x14ac:dyDescent="0.25">
      <c r="B175" s="4" t="s">
        <v>56</v>
      </c>
      <c r="C175" s="23">
        <v>25300</v>
      </c>
      <c r="E175" s="23">
        <f>25300-1200-300-3500</f>
        <v>20300</v>
      </c>
      <c r="G175" s="114">
        <f t="shared" si="5"/>
        <v>5000</v>
      </c>
    </row>
    <row r="176" spans="1:7" x14ac:dyDescent="0.25">
      <c r="B176" s="20" t="s">
        <v>57</v>
      </c>
      <c r="C176" s="23">
        <v>181800</v>
      </c>
      <c r="E176" s="23">
        <v>181800</v>
      </c>
      <c r="G176" s="114">
        <f t="shared" si="5"/>
        <v>0</v>
      </c>
    </row>
    <row r="177" spans="1:7" x14ac:dyDescent="0.25">
      <c r="B177" s="4" t="s">
        <v>70</v>
      </c>
      <c r="C177" s="23">
        <v>10000</v>
      </c>
      <c r="E177" s="23">
        <v>10000</v>
      </c>
      <c r="G177" s="114">
        <f t="shared" si="5"/>
        <v>0</v>
      </c>
    </row>
    <row r="178" spans="1:7" x14ac:dyDescent="0.25">
      <c r="B178" s="7"/>
      <c r="C178" s="112"/>
      <c r="E178" s="112"/>
      <c r="G178" s="126">
        <f t="shared" si="5"/>
        <v>0</v>
      </c>
    </row>
    <row r="179" spans="1:7" s="1" customFormat="1" x14ac:dyDescent="0.25">
      <c r="A179" s="8"/>
      <c r="C179" s="113"/>
      <c r="D179" s="114"/>
      <c r="E179" s="113"/>
      <c r="F179" s="114"/>
      <c r="G179" s="114"/>
    </row>
    <row r="180" spans="1:7" s="6" customFormat="1" x14ac:dyDescent="0.25">
      <c r="A180" s="8"/>
      <c r="B180" s="11" t="s">
        <v>67</v>
      </c>
      <c r="C180" s="113">
        <f>SUM(C171:C178)</f>
        <v>613000</v>
      </c>
      <c r="D180" s="115"/>
      <c r="E180" s="113">
        <f>SUM(E171:E178)</f>
        <v>621600</v>
      </c>
      <c r="F180" s="12"/>
      <c r="G180" s="114">
        <f t="shared" si="5"/>
        <v>-8600</v>
      </c>
    </row>
    <row r="181" spans="1:7" x14ac:dyDescent="0.25">
      <c r="A181" s="8"/>
      <c r="B181" s="6"/>
      <c r="C181" s="113"/>
      <c r="E181" s="113"/>
    </row>
    <row r="182" spans="1:7" x14ac:dyDescent="0.25">
      <c r="B182" s="4" t="s">
        <v>26</v>
      </c>
      <c r="C182" s="113">
        <f>10000+2000</f>
        <v>12000</v>
      </c>
      <c r="E182" s="113">
        <f>10000+2000</f>
        <v>12000</v>
      </c>
      <c r="G182" s="103">
        <f>E182-C182</f>
        <v>0</v>
      </c>
    </row>
    <row r="183" spans="1:7" x14ac:dyDescent="0.25">
      <c r="C183" s="113"/>
      <c r="E183" s="113"/>
    </row>
    <row r="184" spans="1:7" x14ac:dyDescent="0.25">
      <c r="A184" s="8"/>
      <c r="B184" s="9"/>
      <c r="C184" s="113"/>
      <c r="E184" s="113"/>
    </row>
    <row r="185" spans="1:7" x14ac:dyDescent="0.25">
      <c r="A185" s="8"/>
      <c r="C185" s="109"/>
      <c r="E185" s="109"/>
      <c r="G185" s="109"/>
    </row>
    <row r="186" spans="1:7" x14ac:dyDescent="0.25">
      <c r="A186" s="8"/>
      <c r="B186" s="6" t="s">
        <v>58</v>
      </c>
      <c r="C186" s="113">
        <f>SUM(C182:C185)</f>
        <v>12000</v>
      </c>
      <c r="D186" s="114"/>
      <c r="E186" s="113">
        <f>SUM(E182:E185)</f>
        <v>12000</v>
      </c>
      <c r="G186" s="113">
        <f>E186-C186</f>
        <v>0</v>
      </c>
    </row>
    <row r="187" spans="1:7" x14ac:dyDescent="0.25">
      <c r="A187" s="8"/>
      <c r="B187" s="6"/>
      <c r="C187" s="113"/>
      <c r="D187" s="114"/>
      <c r="E187" s="113"/>
      <c r="G187" s="113"/>
    </row>
    <row r="188" spans="1:7" s="1" customFormat="1" x14ac:dyDescent="0.25">
      <c r="A188" s="125"/>
      <c r="B188" s="15"/>
      <c r="C188" s="109"/>
      <c r="D188" s="114"/>
      <c r="E188" s="109"/>
      <c r="F188" s="114"/>
      <c r="G188" s="109"/>
    </row>
    <row r="189" spans="1:7" s="8" customFormat="1" x14ac:dyDescent="0.25">
      <c r="A189" s="155"/>
      <c r="B189" s="11" t="s">
        <v>55</v>
      </c>
      <c r="C189" s="113">
        <f>C180-C186</f>
        <v>601000</v>
      </c>
      <c r="D189" s="115"/>
      <c r="E189" s="113">
        <f>E180-E186</f>
        <v>609600</v>
      </c>
      <c r="F189" s="115"/>
      <c r="G189" s="113">
        <f>C189-E189</f>
        <v>-8600</v>
      </c>
    </row>
    <row r="190" spans="1:7" s="1" customFormat="1" ht="18.75" thickBot="1" x14ac:dyDescent="0.3">
      <c r="A190" s="8"/>
      <c r="B190" s="135"/>
      <c r="C190" s="113"/>
      <c r="D190" s="114"/>
      <c r="E190" s="113"/>
      <c r="F190" s="114"/>
      <c r="G190" s="113"/>
    </row>
    <row r="191" spans="1:7" ht="18.75" thickTop="1" x14ac:dyDescent="0.25">
      <c r="A191" s="8"/>
      <c r="B191" s="1"/>
      <c r="C191" s="146"/>
      <c r="D191" s="114"/>
      <c r="E191" s="146"/>
      <c r="F191" s="114"/>
      <c r="G191" s="146"/>
    </row>
    <row r="192" spans="1:7" x14ac:dyDescent="0.25">
      <c r="A192" s="133"/>
      <c r="C192" s="23"/>
      <c r="E192" s="23"/>
    </row>
    <row r="193" spans="1:7" x14ac:dyDescent="0.25">
      <c r="A193" s="125"/>
      <c r="C193" s="113"/>
      <c r="E193" s="113"/>
    </row>
    <row r="194" spans="1:7" x14ac:dyDescent="0.25">
      <c r="A194" s="125"/>
      <c r="C194" s="113"/>
      <c r="E194" s="113"/>
    </row>
    <row r="195" spans="1:7" ht="41.25" customHeight="1" x14ac:dyDescent="0.25">
      <c r="B195" s="224" t="s">
        <v>20</v>
      </c>
      <c r="C195" s="225"/>
      <c r="D195" s="225"/>
      <c r="E195" s="225"/>
      <c r="F195" s="225"/>
      <c r="G195" s="226"/>
    </row>
    <row r="196" spans="1:7" x14ac:dyDescent="0.25">
      <c r="A196" s="133"/>
      <c r="C196" s="23"/>
      <c r="E196" s="23"/>
    </row>
    <row r="197" spans="1:7" x14ac:dyDescent="0.25">
      <c r="A197" s="5"/>
      <c r="B197" s="26"/>
      <c r="C197" s="104" t="s">
        <v>200</v>
      </c>
      <c r="E197" s="104" t="s">
        <v>212</v>
      </c>
      <c r="G197" s="52"/>
    </row>
    <row r="198" spans="1:7" x14ac:dyDescent="0.25">
      <c r="C198" s="105" t="s">
        <v>95</v>
      </c>
      <c r="E198" s="105" t="s">
        <v>40</v>
      </c>
      <c r="G198" s="61" t="s">
        <v>41</v>
      </c>
    </row>
    <row r="199" spans="1:7" x14ac:dyDescent="0.25">
      <c r="A199" s="125"/>
      <c r="C199" s="106" t="s">
        <v>42</v>
      </c>
      <c r="E199" s="106" t="s">
        <v>42</v>
      </c>
      <c r="G199" s="62" t="s">
        <v>28</v>
      </c>
    </row>
    <row r="200" spans="1:7" x14ac:dyDescent="0.25">
      <c r="A200" s="133"/>
      <c r="C200" s="23"/>
      <c r="E200" s="23"/>
    </row>
    <row r="201" spans="1:7" ht="20.25" x14ac:dyDescent="0.3">
      <c r="A201" s="133"/>
      <c r="B201" s="118" t="s">
        <v>79</v>
      </c>
      <c r="C201" s="23" t="s">
        <v>0</v>
      </c>
      <c r="E201" s="23" t="s">
        <v>0</v>
      </c>
      <c r="G201" s="12" t="s">
        <v>0</v>
      </c>
    </row>
    <row r="202" spans="1:7" x14ac:dyDescent="0.25">
      <c r="A202" s="133"/>
      <c r="C202" s="23"/>
      <c r="E202" s="23"/>
    </row>
    <row r="203" spans="1:7" x14ac:dyDescent="0.25">
      <c r="B203" s="4" t="s">
        <v>81</v>
      </c>
      <c r="C203" s="23">
        <f>5000-1000</f>
        <v>4000</v>
      </c>
      <c r="E203" s="23">
        <v>5000</v>
      </c>
      <c r="G203" s="114">
        <f>C203-E203</f>
        <v>-1000</v>
      </c>
    </row>
    <row r="204" spans="1:7" x14ac:dyDescent="0.25">
      <c r="B204" s="20" t="s">
        <v>57</v>
      </c>
      <c r="C204" s="23">
        <f>12000+3000</f>
        <v>15000</v>
      </c>
      <c r="E204" s="23">
        <v>14000</v>
      </c>
      <c r="G204" s="114">
        <f>C204-E204</f>
        <v>1000</v>
      </c>
    </row>
    <row r="205" spans="1:7" x14ac:dyDescent="0.25">
      <c r="A205" s="133"/>
      <c r="B205" s="20"/>
      <c r="C205" s="112"/>
      <c r="E205" s="112"/>
      <c r="G205" s="126"/>
    </row>
    <row r="206" spans="1:7" s="1" customFormat="1" x14ac:dyDescent="0.25">
      <c r="A206" s="125"/>
      <c r="C206" s="113"/>
      <c r="D206" s="114"/>
      <c r="E206" s="113"/>
      <c r="F206" s="114"/>
      <c r="G206" s="114"/>
    </row>
    <row r="207" spans="1:7" s="6" customFormat="1" x14ac:dyDescent="0.25">
      <c r="A207" s="156"/>
      <c r="B207" s="11" t="s">
        <v>67</v>
      </c>
      <c r="C207" s="23">
        <f>SUM(C202:C205)</f>
        <v>19000</v>
      </c>
      <c r="D207" s="12"/>
      <c r="E207" s="23">
        <f>SUM(E202:E205)</f>
        <v>19000</v>
      </c>
      <c r="F207" s="12"/>
      <c r="G207" s="115">
        <f>C207-E207</f>
        <v>0</v>
      </c>
    </row>
    <row r="208" spans="1:7" x14ac:dyDescent="0.25">
      <c r="A208" s="133"/>
      <c r="C208" s="23"/>
      <c r="E208" s="23"/>
      <c r="G208" s="114"/>
    </row>
    <row r="209" spans="1:7" x14ac:dyDescent="0.25">
      <c r="A209" s="133"/>
      <c r="C209" s="23"/>
      <c r="E209" s="23"/>
      <c r="G209" s="114"/>
    </row>
    <row r="210" spans="1:7" x14ac:dyDescent="0.25">
      <c r="B210" s="4" t="s">
        <v>26</v>
      </c>
      <c r="C210" s="113">
        <v>19000</v>
      </c>
      <c r="D210" s="114"/>
      <c r="E210" s="113">
        <f>15000+4000</f>
        <v>19000</v>
      </c>
      <c r="G210" s="114">
        <f>E210-C210</f>
        <v>0</v>
      </c>
    </row>
    <row r="211" spans="1:7" x14ac:dyDescent="0.25">
      <c r="A211" s="133"/>
      <c r="C211" s="112"/>
      <c r="E211" s="112"/>
      <c r="G211" s="126"/>
    </row>
    <row r="212" spans="1:7" x14ac:dyDescent="0.25">
      <c r="A212" s="125"/>
      <c r="C212" s="4"/>
      <c r="E212" s="4"/>
    </row>
    <row r="213" spans="1:7" x14ac:dyDescent="0.25">
      <c r="A213" s="156"/>
      <c r="B213" s="11" t="s">
        <v>55</v>
      </c>
      <c r="C213" s="23">
        <f>+C207-C210</f>
        <v>0</v>
      </c>
      <c r="E213" s="23">
        <f>+E207-E210</f>
        <v>0</v>
      </c>
      <c r="G213" s="12">
        <f>C213-E213</f>
        <v>0</v>
      </c>
    </row>
    <row r="214" spans="1:7" ht="18.75" thickBot="1" x14ac:dyDescent="0.3">
      <c r="A214" s="125"/>
      <c r="B214" s="13"/>
      <c r="C214" s="110"/>
      <c r="E214" s="110"/>
      <c r="G214" s="110"/>
    </row>
    <row r="215" spans="1:7" ht="18.75" thickTop="1" x14ac:dyDescent="0.25">
      <c r="A215" s="125"/>
      <c r="C215" s="113"/>
      <c r="E215" s="113"/>
      <c r="G215" s="113"/>
    </row>
    <row r="216" spans="1:7" x14ac:dyDescent="0.25">
      <c r="A216" s="125"/>
      <c r="C216" s="113"/>
      <c r="E216" s="113"/>
    </row>
    <row r="217" spans="1:7" x14ac:dyDescent="0.25">
      <c r="A217" s="125"/>
      <c r="C217" s="113"/>
      <c r="E217" s="113"/>
    </row>
    <row r="218" spans="1:7" ht="41.25" customHeight="1" x14ac:dyDescent="0.25">
      <c r="B218" s="224" t="s">
        <v>20</v>
      </c>
      <c r="C218" s="225"/>
      <c r="D218" s="225"/>
      <c r="E218" s="225"/>
      <c r="F218" s="225"/>
      <c r="G218" s="226"/>
    </row>
    <row r="219" spans="1:7" x14ac:dyDescent="0.25">
      <c r="A219" s="133"/>
      <c r="C219" s="23"/>
      <c r="E219" s="23"/>
    </row>
    <row r="220" spans="1:7" x14ac:dyDescent="0.25">
      <c r="A220" s="5"/>
      <c r="B220" s="26"/>
      <c r="C220" s="104" t="s">
        <v>200</v>
      </c>
      <c r="E220" s="104" t="s">
        <v>212</v>
      </c>
      <c r="G220" s="52"/>
    </row>
    <row r="221" spans="1:7" x14ac:dyDescent="0.25">
      <c r="C221" s="105" t="s">
        <v>95</v>
      </c>
      <c r="E221" s="105" t="s">
        <v>40</v>
      </c>
      <c r="G221" s="61" t="s">
        <v>41</v>
      </c>
    </row>
    <row r="222" spans="1:7" x14ac:dyDescent="0.25">
      <c r="A222" s="125"/>
      <c r="B222" s="2"/>
      <c r="C222" s="106" t="s">
        <v>42</v>
      </c>
      <c r="E222" s="106" t="s">
        <v>42</v>
      </c>
      <c r="G222" s="62" t="s">
        <v>28</v>
      </c>
    </row>
    <row r="223" spans="1:7" x14ac:dyDescent="0.25">
      <c r="A223" s="133"/>
      <c r="B223" s="3"/>
      <c r="C223" s="23"/>
      <c r="E223" s="23"/>
    </row>
    <row r="224" spans="1:7" ht="20.25" x14ac:dyDescent="0.3">
      <c r="A224" s="133"/>
      <c r="B224" s="118" t="s">
        <v>217</v>
      </c>
      <c r="C224" s="23" t="s">
        <v>0</v>
      </c>
      <c r="E224" s="23" t="s">
        <v>0</v>
      </c>
      <c r="G224" s="12" t="s">
        <v>0</v>
      </c>
    </row>
    <row r="225" spans="1:8" ht="18.75" customHeight="1" x14ac:dyDescent="0.25">
      <c r="A225" s="133"/>
      <c r="C225" s="23"/>
      <c r="E225" s="23"/>
    </row>
    <row r="226" spans="1:8" x14ac:dyDescent="0.25">
      <c r="B226" s="4" t="s">
        <v>81</v>
      </c>
      <c r="C226" s="23">
        <v>15300</v>
      </c>
      <c r="E226" s="23">
        <f>15300-1200-300</f>
        <v>13800</v>
      </c>
      <c r="G226" s="114">
        <f t="shared" ref="G226:G236" si="6">C226-E226</f>
        <v>1500</v>
      </c>
    </row>
    <row r="227" spans="1:8" x14ac:dyDescent="0.25">
      <c r="B227" s="4" t="s">
        <v>56</v>
      </c>
      <c r="C227" s="23">
        <v>54400</v>
      </c>
      <c r="E227" s="23">
        <f>54400+1200</f>
        <v>55600</v>
      </c>
      <c r="G227" s="114">
        <f t="shared" si="6"/>
        <v>-1200</v>
      </c>
    </row>
    <row r="228" spans="1:8" x14ac:dyDescent="0.25">
      <c r="B228" s="20" t="s">
        <v>57</v>
      </c>
      <c r="C228" s="23">
        <v>140900</v>
      </c>
      <c r="E228" s="23">
        <f>140900+6000</f>
        <v>146900</v>
      </c>
      <c r="G228" s="114">
        <f t="shared" si="6"/>
        <v>-6000</v>
      </c>
    </row>
    <row r="229" spans="1:8" x14ac:dyDescent="0.25">
      <c r="A229" s="133"/>
      <c r="C229" s="112"/>
      <c r="E229" s="112"/>
      <c r="G229" s="126"/>
    </row>
    <row r="230" spans="1:8" s="1" customFormat="1" x14ac:dyDescent="0.25">
      <c r="A230" s="125"/>
      <c r="C230" s="113"/>
      <c r="D230" s="114"/>
      <c r="E230" s="113"/>
      <c r="F230" s="114"/>
      <c r="G230" s="114"/>
    </row>
    <row r="231" spans="1:8" s="6" customFormat="1" x14ac:dyDescent="0.25">
      <c r="A231" s="156"/>
      <c r="B231" s="11" t="s">
        <v>67</v>
      </c>
      <c r="C231" s="23">
        <f>SUM(C226:C229)</f>
        <v>210600</v>
      </c>
      <c r="D231" s="12"/>
      <c r="E231" s="23">
        <f>SUM(E226:E229)</f>
        <v>216300</v>
      </c>
      <c r="F231" s="12"/>
      <c r="G231" s="114">
        <f t="shared" si="6"/>
        <v>-5700</v>
      </c>
    </row>
    <row r="232" spans="1:8" x14ac:dyDescent="0.25">
      <c r="A232" s="133"/>
      <c r="B232" s="9"/>
      <c r="C232" s="23"/>
      <c r="E232" s="23"/>
      <c r="G232" s="114"/>
    </row>
    <row r="233" spans="1:8" x14ac:dyDescent="0.25">
      <c r="B233" s="4" t="s">
        <v>26</v>
      </c>
      <c r="C233" s="113">
        <v>170000</v>
      </c>
      <c r="D233" s="114"/>
      <c r="E233" s="113">
        <f>170000+6000</f>
        <v>176000</v>
      </c>
      <c r="F233" s="114"/>
      <c r="G233" s="114">
        <f>E233-C233</f>
        <v>6000</v>
      </c>
      <c r="H233" s="1"/>
    </row>
    <row r="234" spans="1:8" x14ac:dyDescent="0.25">
      <c r="A234" s="125"/>
      <c r="C234" s="112"/>
      <c r="E234" s="112"/>
      <c r="G234" s="126"/>
    </row>
    <row r="235" spans="1:8" x14ac:dyDescent="0.25">
      <c r="A235" s="133"/>
      <c r="B235" s="11"/>
      <c r="C235" s="23"/>
      <c r="E235" s="23"/>
      <c r="G235" s="114"/>
    </row>
    <row r="236" spans="1:8" x14ac:dyDescent="0.25">
      <c r="A236" s="156"/>
      <c r="B236" s="11" t="s">
        <v>55</v>
      </c>
      <c r="C236" s="23">
        <f>+C231-C233</f>
        <v>40600</v>
      </c>
      <c r="E236" s="23">
        <f>+E231-E233</f>
        <v>40300</v>
      </c>
      <c r="G236" s="115">
        <f t="shared" si="6"/>
        <v>300</v>
      </c>
    </row>
    <row r="237" spans="1:8" ht="18.75" thickBot="1" x14ac:dyDescent="0.3">
      <c r="A237" s="134"/>
      <c r="B237" s="13"/>
      <c r="C237" s="116"/>
      <c r="E237" s="116"/>
      <c r="G237" s="116"/>
    </row>
    <row r="238" spans="1:8" ht="15" customHeight="1" thickTop="1" x14ac:dyDescent="0.25">
      <c r="B238" s="19"/>
      <c r="C238" s="102"/>
      <c r="E238" s="102"/>
    </row>
    <row r="239" spans="1:8" ht="15" customHeight="1" x14ac:dyDescent="0.25">
      <c r="B239" s="19"/>
      <c r="C239" s="102"/>
      <c r="E239" s="102"/>
    </row>
    <row r="240" spans="1:8" x14ac:dyDescent="0.25">
      <c r="A240" s="6"/>
      <c r="B240" s="11"/>
      <c r="C240" s="23"/>
      <c r="D240" s="12"/>
      <c r="E240" s="23"/>
    </row>
    <row r="241" spans="1:7" ht="41.25" customHeight="1" x14ac:dyDescent="0.25">
      <c r="B241" s="224" t="s">
        <v>20</v>
      </c>
      <c r="C241" s="225"/>
      <c r="D241" s="225"/>
      <c r="E241" s="225"/>
      <c r="F241" s="225"/>
      <c r="G241" s="226"/>
    </row>
    <row r="244" spans="1:7" x14ac:dyDescent="0.25">
      <c r="A244" s="5"/>
      <c r="B244" s="26"/>
      <c r="C244" s="104" t="s">
        <v>200</v>
      </c>
      <c r="E244" s="104" t="s">
        <v>212</v>
      </c>
      <c r="G244" s="52"/>
    </row>
    <row r="245" spans="1:7" x14ac:dyDescent="0.25">
      <c r="C245" s="105" t="s">
        <v>95</v>
      </c>
      <c r="E245" s="105" t="s">
        <v>40</v>
      </c>
      <c r="G245" s="61" t="s">
        <v>41</v>
      </c>
    </row>
    <row r="246" spans="1:7" x14ac:dyDescent="0.25">
      <c r="C246" s="106" t="s">
        <v>42</v>
      </c>
      <c r="E246" s="106" t="s">
        <v>42</v>
      </c>
      <c r="G246" s="62" t="s">
        <v>28</v>
      </c>
    </row>
    <row r="247" spans="1:7" x14ac:dyDescent="0.25">
      <c r="C247" s="113"/>
      <c r="E247" s="113"/>
    </row>
    <row r="248" spans="1:7" ht="20.25" x14ac:dyDescent="0.3">
      <c r="B248" s="150" t="s">
        <v>51</v>
      </c>
      <c r="C248" s="23" t="s">
        <v>0</v>
      </c>
      <c r="E248" s="23" t="s">
        <v>0</v>
      </c>
      <c r="G248" s="12" t="s">
        <v>0</v>
      </c>
    </row>
    <row r="249" spans="1:7" x14ac:dyDescent="0.25">
      <c r="C249" s="23"/>
    </row>
    <row r="250" spans="1:7" x14ac:dyDescent="0.25">
      <c r="B250" s="4" t="s">
        <v>6</v>
      </c>
      <c r="C250" s="23">
        <v>1127600</v>
      </c>
      <c r="E250" s="23">
        <f>1127600+16600+1300-47100+55400</f>
        <v>1153800</v>
      </c>
      <c r="G250" s="114">
        <f>C250-E250</f>
        <v>-26200</v>
      </c>
    </row>
    <row r="251" spans="1:7" x14ac:dyDescent="0.25">
      <c r="B251" s="4" t="s">
        <v>81</v>
      </c>
      <c r="C251" s="23">
        <v>257900</v>
      </c>
      <c r="E251" s="23">
        <f>257900+4800+19000-900</f>
        <v>280800</v>
      </c>
      <c r="G251" s="114">
        <f t="shared" ref="G251:G264" si="7">C251-E251</f>
        <v>-22900</v>
      </c>
    </row>
    <row r="252" spans="1:7" x14ac:dyDescent="0.25">
      <c r="B252" s="4" t="s">
        <v>25</v>
      </c>
      <c r="C252" s="23">
        <v>30000</v>
      </c>
      <c r="E252" s="23">
        <f>30000-3000</f>
        <v>27000</v>
      </c>
      <c r="G252" s="114">
        <f t="shared" si="7"/>
        <v>3000</v>
      </c>
    </row>
    <row r="253" spans="1:7" x14ac:dyDescent="0.25">
      <c r="B253" s="4" t="s">
        <v>56</v>
      </c>
      <c r="C253" s="23">
        <v>267100</v>
      </c>
      <c r="E253" s="23">
        <f>267100+500-4000-11000</f>
        <v>252600</v>
      </c>
      <c r="G253" s="114">
        <f t="shared" si="7"/>
        <v>14500</v>
      </c>
    </row>
    <row r="254" spans="1:7" x14ac:dyDescent="0.25">
      <c r="B254" s="4" t="s">
        <v>87</v>
      </c>
      <c r="C254" s="23">
        <v>253000</v>
      </c>
      <c r="E254" s="23">
        <v>253000</v>
      </c>
      <c r="G254" s="114">
        <f>C254-E254</f>
        <v>0</v>
      </c>
    </row>
    <row r="255" spans="1:7" x14ac:dyDescent="0.25">
      <c r="B255" s="20" t="s">
        <v>57</v>
      </c>
      <c r="C255" s="23">
        <v>10000</v>
      </c>
      <c r="E255" s="23">
        <f>10000-3000</f>
        <v>7000</v>
      </c>
      <c r="G255" s="114">
        <f t="shared" si="7"/>
        <v>3000</v>
      </c>
    </row>
    <row r="256" spans="1:7" x14ac:dyDescent="0.25">
      <c r="B256" s="4" t="s">
        <v>70</v>
      </c>
      <c r="C256" s="23">
        <v>100000</v>
      </c>
      <c r="E256" s="23">
        <v>100000</v>
      </c>
      <c r="G256" s="114">
        <f t="shared" si="7"/>
        <v>0</v>
      </c>
    </row>
    <row r="257" spans="1:7" x14ac:dyDescent="0.25">
      <c r="B257" s="7"/>
      <c r="C257" s="112"/>
      <c r="E257" s="112"/>
      <c r="G257" s="126"/>
    </row>
    <row r="258" spans="1:7" x14ac:dyDescent="0.25">
      <c r="A258" s="1"/>
      <c r="B258" s="1"/>
      <c r="C258" s="113"/>
      <c r="E258" s="113"/>
      <c r="G258" s="114"/>
    </row>
    <row r="259" spans="1:7" x14ac:dyDescent="0.25">
      <c r="A259" s="8"/>
      <c r="B259" s="11" t="s">
        <v>67</v>
      </c>
      <c r="C259" s="113">
        <f>SUM(C249:C257)</f>
        <v>2045600</v>
      </c>
      <c r="E259" s="113">
        <f>SUM(E249:E257)</f>
        <v>2074200</v>
      </c>
      <c r="G259" s="114">
        <f t="shared" si="7"/>
        <v>-28600</v>
      </c>
    </row>
    <row r="260" spans="1:7" x14ac:dyDescent="0.25">
      <c r="A260" s="8"/>
      <c r="B260" s="8"/>
      <c r="C260" s="113"/>
      <c r="E260" s="113"/>
      <c r="G260" s="114"/>
    </row>
    <row r="261" spans="1:7" x14ac:dyDescent="0.25">
      <c r="B261" s="4" t="s">
        <v>26</v>
      </c>
      <c r="C261" s="23">
        <v>2562000</v>
      </c>
      <c r="E261" s="23">
        <f>2562000+6900+33400+40000</f>
        <v>2642300</v>
      </c>
      <c r="G261" s="114">
        <f>E261-C261</f>
        <v>80300</v>
      </c>
    </row>
    <row r="262" spans="1:7" x14ac:dyDescent="0.25">
      <c r="C262" s="112"/>
      <c r="E262" s="112"/>
      <c r="G262" s="126"/>
    </row>
    <row r="263" spans="1:7" x14ac:dyDescent="0.25">
      <c r="A263" s="1"/>
      <c r="B263" s="1"/>
      <c r="C263" s="113"/>
      <c r="E263" s="113"/>
      <c r="G263" s="113"/>
    </row>
    <row r="264" spans="1:7" x14ac:dyDescent="0.25">
      <c r="A264" s="8"/>
      <c r="B264" s="11" t="s">
        <v>55</v>
      </c>
      <c r="C264" s="113">
        <f>+C259-C261</f>
        <v>-516400</v>
      </c>
      <c r="E264" s="113">
        <f>+E259-E261</f>
        <v>-568100</v>
      </c>
      <c r="G264" s="113">
        <f t="shared" si="7"/>
        <v>51700</v>
      </c>
    </row>
    <row r="265" spans="1:7" ht="18.75" thickBot="1" x14ac:dyDescent="0.3">
      <c r="B265" s="11"/>
      <c r="C265" s="116"/>
      <c r="E265" s="116"/>
      <c r="G265" s="116"/>
    </row>
    <row r="266" spans="1:7" ht="18.75" thickTop="1" x14ac:dyDescent="0.25"/>
    <row r="267" spans="1:7" x14ac:dyDescent="0.25">
      <c r="D267" s="24"/>
    </row>
    <row r="268" spans="1:7" x14ac:dyDescent="0.25">
      <c r="D268" s="24"/>
    </row>
    <row r="270" spans="1:7" x14ac:dyDescent="0.25">
      <c r="D270" s="24"/>
    </row>
    <row r="272" spans="1:7" x14ac:dyDescent="0.25">
      <c r="D272" s="24"/>
    </row>
  </sheetData>
  <customSheetViews>
    <customSheetView guid="{CA1631C2-F325-11D6-AB9C-00B0D0BAF716}" scale="75" showRuler="0" topLeftCell="A10">
      <selection activeCell="L134" sqref="L134"/>
      <rowBreaks count="4" manualBreakCount="4">
        <brk id="28" max="16383" man="1"/>
        <brk id="73" max="16383" man="1"/>
        <brk id="115" max="16383" man="1"/>
        <brk id="154" max="16383" man="1"/>
      </rowBreaks>
      <pageMargins left="0.43307086614173229" right="0.39370078740157483" top="0.98425196850393704" bottom="0.98425196850393704" header="0.51181102362204722" footer="0.51181102362204722"/>
      <pageSetup paperSize="9" scale="65" firstPageNumber="18" orientation="portrait" useFirstPageNumber="1" r:id="rId1"/>
      <headerFooter alignWithMargins="0">
        <oddHeader>&amp;LPORTFOLIO HOLDER&amp;RBUDGET HOLDER</oddHeader>
        <oddFooter>&amp;C&amp;18&amp;P</oddFooter>
      </headerFooter>
    </customSheetView>
  </customSheetViews>
  <mergeCells count="10">
    <mergeCell ref="B163:G163"/>
    <mergeCell ref="B195:G195"/>
    <mergeCell ref="B218:G218"/>
    <mergeCell ref="B241:G241"/>
    <mergeCell ref="B2:G2"/>
    <mergeCell ref="B35:G35"/>
    <mergeCell ref="B56:G56"/>
    <mergeCell ref="B86:G86"/>
    <mergeCell ref="B110:G110"/>
    <mergeCell ref="B135:G135"/>
  </mergeCells>
  <phoneticPr fontId="0" type="noConversion"/>
  <pageMargins left="0.59055118110236227" right="0.39370078740157483" top="0.55118110236220474" bottom="0.98425196850393704" header="0.59055118110236227" footer="0.59055118110236227"/>
  <pageSetup paperSize="9" scale="60" firstPageNumber="17" orientation="portrait" useFirstPageNumber="1" r:id="rId2"/>
  <headerFooter alignWithMargins="0">
    <oddFooter>&amp;C&amp;18&amp;P</oddFooter>
  </headerFooter>
  <rowBreaks count="5" manualBreakCount="5">
    <brk id="33" max="7" man="1"/>
    <brk id="84" max="7" man="1"/>
    <brk id="133" max="7" man="1"/>
    <brk id="192" max="16383" man="1"/>
    <brk id="239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I323"/>
  <sheetViews>
    <sheetView topLeftCell="A295" zoomScale="80" zoomScaleNormal="80" zoomScaleSheetLayoutView="70" workbookViewId="0">
      <selection activeCell="O16" sqref="O16"/>
    </sheetView>
  </sheetViews>
  <sheetFormatPr defaultColWidth="9.28515625" defaultRowHeight="18" x14ac:dyDescent="0.25"/>
  <cols>
    <col min="1" max="1" width="9.7109375" style="4" customWidth="1"/>
    <col min="2" max="2" width="54.28515625" style="4" customWidth="1"/>
    <col min="3" max="3" width="17.28515625" style="24" customWidth="1"/>
    <col min="4" max="4" width="10" style="103" customWidth="1"/>
    <col min="5" max="5" width="17.28515625" style="24" customWidth="1"/>
    <col min="6" max="6" width="10" style="103" customWidth="1"/>
    <col min="7" max="7" width="17.42578125" style="103" customWidth="1"/>
    <col min="8" max="8" width="10.28515625" style="4" customWidth="1"/>
    <col min="9" max="9" width="15.5703125" style="4" bestFit="1" customWidth="1"/>
    <col min="10" max="16384" width="9.28515625" style="4"/>
  </cols>
  <sheetData>
    <row r="2" spans="1:9" ht="41.25" customHeight="1" x14ac:dyDescent="0.25">
      <c r="B2" s="224" t="s">
        <v>113</v>
      </c>
      <c r="C2" s="225"/>
      <c r="D2" s="225"/>
      <c r="E2" s="225"/>
      <c r="F2" s="225"/>
      <c r="G2" s="226"/>
    </row>
    <row r="5" spans="1:9" x14ac:dyDescent="0.25">
      <c r="A5" s="5"/>
      <c r="B5" s="166"/>
      <c r="C5" s="104" t="s">
        <v>200</v>
      </c>
      <c r="E5" s="104" t="s">
        <v>212</v>
      </c>
      <c r="G5" s="104"/>
    </row>
    <row r="6" spans="1:9" x14ac:dyDescent="0.25">
      <c r="C6" s="105" t="s">
        <v>95</v>
      </c>
      <c r="E6" s="105" t="s">
        <v>40</v>
      </c>
      <c r="G6" s="105" t="s">
        <v>41</v>
      </c>
    </row>
    <row r="7" spans="1:9" x14ac:dyDescent="0.25">
      <c r="C7" s="106" t="s">
        <v>42</v>
      </c>
      <c r="E7" s="106" t="s">
        <v>42</v>
      </c>
      <c r="G7" s="106" t="s">
        <v>28</v>
      </c>
    </row>
    <row r="8" spans="1:9" x14ac:dyDescent="0.25">
      <c r="C8" s="23"/>
      <c r="E8" s="23"/>
      <c r="I8" s="1"/>
    </row>
    <row r="9" spans="1:9" ht="20.25" x14ac:dyDescent="0.3">
      <c r="B9" s="118" t="s">
        <v>54</v>
      </c>
      <c r="C9" s="23" t="s">
        <v>0</v>
      </c>
      <c r="E9" s="23" t="s">
        <v>0</v>
      </c>
      <c r="G9" s="23" t="s">
        <v>0</v>
      </c>
      <c r="I9" s="1"/>
    </row>
    <row r="10" spans="1:9" x14ac:dyDescent="0.25">
      <c r="C10" s="23"/>
      <c r="E10" s="23"/>
      <c r="I10" s="1"/>
    </row>
    <row r="11" spans="1:9" ht="20.25" x14ac:dyDescent="0.3">
      <c r="B11" s="188" t="s">
        <v>114</v>
      </c>
      <c r="C11" s="23">
        <f>C62</f>
        <v>333000</v>
      </c>
      <c r="E11" s="23">
        <f>E62</f>
        <v>384200</v>
      </c>
      <c r="G11" s="103">
        <f>C11-E11</f>
        <v>-51200</v>
      </c>
      <c r="I11" s="1"/>
    </row>
    <row r="12" spans="1:9" ht="20.25" x14ac:dyDescent="0.3">
      <c r="B12" s="188"/>
      <c r="C12" s="23"/>
      <c r="E12" s="23"/>
      <c r="I12" s="1"/>
    </row>
    <row r="13" spans="1:9" ht="20.25" x14ac:dyDescent="0.3">
      <c r="B13" s="188" t="s">
        <v>121</v>
      </c>
      <c r="C13" s="23">
        <f>C79</f>
        <v>142600</v>
      </c>
      <c r="E13" s="23">
        <f>E79</f>
        <v>157300</v>
      </c>
      <c r="G13" s="103">
        <f>C13-E13</f>
        <v>-14700</v>
      </c>
      <c r="I13" s="1"/>
    </row>
    <row r="14" spans="1:9" ht="20.25" x14ac:dyDescent="0.3">
      <c r="B14" s="188"/>
      <c r="C14" s="23"/>
      <c r="E14" s="23"/>
      <c r="I14" s="1"/>
    </row>
    <row r="15" spans="1:9" ht="20.25" x14ac:dyDescent="0.3">
      <c r="B15" s="189" t="s">
        <v>115</v>
      </c>
      <c r="C15" s="23">
        <f>C106</f>
        <v>-799300</v>
      </c>
      <c r="E15" s="23">
        <f>E106</f>
        <v>-739000</v>
      </c>
      <c r="G15" s="103">
        <f>C15-E15</f>
        <v>-60300</v>
      </c>
      <c r="I15" s="1"/>
    </row>
    <row r="16" spans="1:9" ht="20.25" x14ac:dyDescent="0.3">
      <c r="B16" s="189"/>
      <c r="C16" s="23"/>
      <c r="E16" s="23"/>
      <c r="I16" s="1"/>
    </row>
    <row r="17" spans="2:9" ht="20.25" x14ac:dyDescent="0.3">
      <c r="B17" s="188" t="s">
        <v>116</v>
      </c>
      <c r="C17" s="23">
        <f>C143</f>
        <v>-5603800</v>
      </c>
      <c r="E17" s="23">
        <f>E143</f>
        <v>-5533200</v>
      </c>
      <c r="G17" s="103">
        <f>C17-E17</f>
        <v>-70600</v>
      </c>
      <c r="I17" s="1"/>
    </row>
    <row r="18" spans="2:9" ht="20.25" x14ac:dyDescent="0.3">
      <c r="B18" s="188"/>
      <c r="C18" s="23"/>
      <c r="E18" s="23"/>
      <c r="I18" s="1"/>
    </row>
    <row r="19" spans="2:9" ht="20.25" x14ac:dyDescent="0.3">
      <c r="B19" s="188" t="s">
        <v>117</v>
      </c>
      <c r="C19" s="23">
        <f>C165</f>
        <v>-607300</v>
      </c>
      <c r="E19" s="23">
        <f>E165</f>
        <v>-740000</v>
      </c>
      <c r="G19" s="103">
        <f>C19-E19</f>
        <v>132700</v>
      </c>
    </row>
    <row r="20" spans="2:9" ht="20.25" x14ac:dyDescent="0.3">
      <c r="B20" s="188"/>
      <c r="C20" s="23"/>
      <c r="E20" s="23"/>
    </row>
    <row r="21" spans="2:9" ht="20.25" x14ac:dyDescent="0.3">
      <c r="B21" s="189" t="s">
        <v>118</v>
      </c>
      <c r="C21" s="23">
        <f>C187</f>
        <v>150500</v>
      </c>
      <c r="E21" s="23">
        <f>E187</f>
        <v>158000</v>
      </c>
      <c r="G21" s="103">
        <f>C21-E21</f>
        <v>-7500</v>
      </c>
    </row>
    <row r="22" spans="2:9" ht="20.25" x14ac:dyDescent="0.3">
      <c r="B22" s="189"/>
      <c r="C22" s="23"/>
      <c r="E22" s="23"/>
    </row>
    <row r="23" spans="2:9" ht="20.25" x14ac:dyDescent="0.3">
      <c r="B23" s="188" t="s">
        <v>119</v>
      </c>
      <c r="C23" s="23">
        <f>C203</f>
        <v>615800</v>
      </c>
      <c r="E23" s="23">
        <f>E203</f>
        <v>450000</v>
      </c>
      <c r="G23" s="103">
        <f>C23-E23</f>
        <v>165800</v>
      </c>
    </row>
    <row r="24" spans="2:9" ht="20.25" x14ac:dyDescent="0.3">
      <c r="B24" s="188"/>
      <c r="C24" s="23"/>
      <c r="E24" s="23"/>
    </row>
    <row r="25" spans="2:9" ht="20.25" x14ac:dyDescent="0.3">
      <c r="B25" s="121" t="s">
        <v>120</v>
      </c>
      <c r="C25" s="113">
        <f>C229</f>
        <v>1255800</v>
      </c>
      <c r="D25" s="114"/>
      <c r="E25" s="113">
        <f>E229</f>
        <v>1212400</v>
      </c>
      <c r="F25" s="114"/>
      <c r="G25" s="103">
        <f>C25-E25</f>
        <v>43400</v>
      </c>
    </row>
    <row r="26" spans="2:9" ht="20.25" x14ac:dyDescent="0.3">
      <c r="B26" s="121"/>
      <c r="C26" s="113"/>
      <c r="D26" s="114"/>
      <c r="E26" s="113"/>
      <c r="F26" s="114"/>
    </row>
    <row r="27" spans="2:9" ht="20.25" x14ac:dyDescent="0.3">
      <c r="B27" s="119" t="s">
        <v>101</v>
      </c>
      <c r="C27" s="113">
        <f>C260</f>
        <v>35100</v>
      </c>
      <c r="D27" s="113"/>
      <c r="E27" s="113">
        <f>E260</f>
        <v>28000</v>
      </c>
      <c r="F27" s="114"/>
      <c r="G27" s="103">
        <f>C27-E27</f>
        <v>7100</v>
      </c>
    </row>
    <row r="28" spans="2:9" x14ac:dyDescent="0.25">
      <c r="B28" s="9"/>
      <c r="C28" s="113"/>
      <c r="D28" s="114"/>
      <c r="E28" s="113"/>
      <c r="F28" s="114"/>
    </row>
    <row r="29" spans="2:9" ht="20.25" x14ac:dyDescent="0.3">
      <c r="B29" s="119" t="s">
        <v>102</v>
      </c>
      <c r="C29" s="113">
        <f>C282</f>
        <v>-117500</v>
      </c>
      <c r="D29" s="113"/>
      <c r="E29" s="113">
        <f>E282</f>
        <v>17500</v>
      </c>
      <c r="F29" s="114"/>
      <c r="G29" s="103">
        <f>C29-E29</f>
        <v>-135000</v>
      </c>
    </row>
    <row r="30" spans="2:9" ht="20.25" x14ac:dyDescent="0.3">
      <c r="B30" s="119"/>
      <c r="C30" s="113"/>
      <c r="D30" s="114"/>
      <c r="E30" s="113"/>
      <c r="F30" s="114"/>
    </row>
    <row r="31" spans="2:9" ht="20.25" x14ac:dyDescent="0.3">
      <c r="B31" s="119" t="s">
        <v>103</v>
      </c>
      <c r="C31" s="6">
        <f>C303</f>
        <v>54300</v>
      </c>
      <c r="D31" s="6"/>
      <c r="E31" s="17">
        <f>E303</f>
        <v>50300</v>
      </c>
      <c r="G31" s="24">
        <f>C31-E31</f>
        <v>4000</v>
      </c>
    </row>
    <row r="32" spans="2:9" ht="20.25" x14ac:dyDescent="0.3">
      <c r="B32" s="119"/>
      <c r="C32" s="6"/>
      <c r="D32" s="6"/>
      <c r="E32" s="17"/>
      <c r="G32" s="24"/>
    </row>
    <row r="33" spans="1:8" ht="20.25" x14ac:dyDescent="0.3">
      <c r="B33" s="119" t="s">
        <v>160</v>
      </c>
      <c r="C33" s="6">
        <f>C321</f>
        <v>32000</v>
      </c>
      <c r="D33" s="6"/>
      <c r="E33" s="17">
        <f t="shared" ref="E33" si="0">E321</f>
        <v>32000</v>
      </c>
      <c r="G33" s="24">
        <f t="shared" ref="G33" si="1">C33-E33</f>
        <v>0</v>
      </c>
    </row>
    <row r="34" spans="1:8" ht="20.25" x14ac:dyDescent="0.3">
      <c r="B34" s="119"/>
      <c r="C34" s="112"/>
      <c r="E34" s="112"/>
    </row>
    <row r="35" spans="1:8" x14ac:dyDescent="0.25">
      <c r="C35" s="113"/>
      <c r="E35" s="113"/>
      <c r="G35" s="145"/>
    </row>
    <row r="36" spans="1:8" ht="20.25" x14ac:dyDescent="0.3">
      <c r="B36" s="117" t="s">
        <v>55</v>
      </c>
      <c r="C36" s="23">
        <f>SUM(C11:C33)</f>
        <v>-4508800</v>
      </c>
      <c r="E36" s="23">
        <f>SUM(E11:E33)</f>
        <v>-4522500</v>
      </c>
      <c r="G36" s="115">
        <f>C36-E36</f>
        <v>13700</v>
      </c>
    </row>
    <row r="37" spans="1:8" ht="18.75" thickBot="1" x14ac:dyDescent="0.3">
      <c r="B37" s="13"/>
      <c r="C37" s="110"/>
      <c r="E37" s="110"/>
      <c r="G37" s="174"/>
    </row>
    <row r="38" spans="1:8" ht="18.75" thickTop="1" x14ac:dyDescent="0.25"/>
    <row r="40" spans="1:8" x14ac:dyDescent="0.25">
      <c r="A40" s="1"/>
      <c r="B40" s="1"/>
      <c r="C40" s="113"/>
      <c r="E40" s="113"/>
    </row>
    <row r="41" spans="1:8" ht="41.25" customHeight="1" x14ac:dyDescent="0.25">
      <c r="B41" s="224" t="s">
        <v>113</v>
      </c>
      <c r="C41" s="225"/>
      <c r="D41" s="225"/>
      <c r="E41" s="225"/>
      <c r="F41" s="225"/>
      <c r="G41" s="226"/>
    </row>
    <row r="42" spans="1:8" x14ac:dyDescent="0.25">
      <c r="C42" s="113"/>
      <c r="D42" s="114"/>
      <c r="E42" s="113"/>
    </row>
    <row r="43" spans="1:8" x14ac:dyDescent="0.25">
      <c r="C43" s="23"/>
      <c r="E43" s="23"/>
    </row>
    <row r="44" spans="1:8" x14ac:dyDescent="0.25">
      <c r="A44" s="5"/>
      <c r="B44" s="166"/>
      <c r="C44" s="104" t="s">
        <v>200</v>
      </c>
      <c r="E44" s="104" t="s">
        <v>212</v>
      </c>
      <c r="G44" s="104"/>
      <c r="H44" s="1"/>
    </row>
    <row r="45" spans="1:8" x14ac:dyDescent="0.25">
      <c r="C45" s="105" t="s">
        <v>95</v>
      </c>
      <c r="E45" s="105" t="s">
        <v>40</v>
      </c>
      <c r="G45" s="105" t="s">
        <v>41</v>
      </c>
      <c r="H45" s="34"/>
    </row>
    <row r="46" spans="1:8" x14ac:dyDescent="0.25">
      <c r="B46" s="3"/>
      <c r="C46" s="106" t="s">
        <v>42</v>
      </c>
      <c r="E46" s="106" t="s">
        <v>42</v>
      </c>
      <c r="G46" s="106" t="s">
        <v>28</v>
      </c>
      <c r="H46" s="34"/>
    </row>
    <row r="47" spans="1:8" x14ac:dyDescent="0.25">
      <c r="C47" s="23"/>
      <c r="E47" s="23"/>
      <c r="H47" s="33"/>
    </row>
    <row r="48" spans="1:8" ht="20.25" x14ac:dyDescent="0.3">
      <c r="B48" s="190" t="s">
        <v>114</v>
      </c>
      <c r="C48" s="23" t="s">
        <v>0</v>
      </c>
      <c r="E48" s="23" t="s">
        <v>0</v>
      </c>
      <c r="G48" s="23" t="s">
        <v>0</v>
      </c>
      <c r="H48" s="33"/>
    </row>
    <row r="49" spans="1:8" x14ac:dyDescent="0.25">
      <c r="C49" s="23"/>
      <c r="E49" s="23"/>
      <c r="H49" s="33"/>
    </row>
    <row r="50" spans="1:8" x14ac:dyDescent="0.25">
      <c r="B50" s="4" t="s">
        <v>83</v>
      </c>
      <c r="C50" s="23">
        <v>735900</v>
      </c>
      <c r="E50" s="23">
        <f>735900+104900-11800</f>
        <v>829000</v>
      </c>
      <c r="G50" s="103">
        <f>C50-E50</f>
        <v>-93100</v>
      </c>
      <c r="H50" s="33"/>
    </row>
    <row r="51" spans="1:8" x14ac:dyDescent="0.25">
      <c r="B51" s="4" t="s">
        <v>56</v>
      </c>
      <c r="C51" s="113">
        <v>34500</v>
      </c>
      <c r="D51" s="114"/>
      <c r="E51" s="113">
        <f>34500+200-1500</f>
        <v>33200</v>
      </c>
      <c r="G51" s="103">
        <f>C51-E51</f>
        <v>1300</v>
      </c>
      <c r="H51" s="33"/>
    </row>
    <row r="52" spans="1:8" x14ac:dyDescent="0.25">
      <c r="B52" s="4" t="s">
        <v>174</v>
      </c>
      <c r="C52" s="113">
        <v>55000</v>
      </c>
      <c r="D52" s="114"/>
      <c r="E52" s="113">
        <v>55000</v>
      </c>
      <c r="G52" s="103">
        <f>C52-E52</f>
        <v>0</v>
      </c>
      <c r="H52" s="33"/>
    </row>
    <row r="53" spans="1:8" x14ac:dyDescent="0.25">
      <c r="C53" s="112"/>
      <c r="E53" s="112"/>
      <c r="G53" s="126"/>
      <c r="H53" s="33"/>
    </row>
    <row r="54" spans="1:8" s="1" customFormat="1" x14ac:dyDescent="0.25">
      <c r="C54" s="113"/>
      <c r="D54" s="114"/>
      <c r="E54" s="113"/>
      <c r="F54" s="114"/>
      <c r="G54" s="114"/>
      <c r="H54" s="34"/>
    </row>
    <row r="55" spans="1:8" s="6" customFormat="1" x14ac:dyDescent="0.25">
      <c r="B55" s="6" t="s">
        <v>67</v>
      </c>
      <c r="C55" s="113">
        <f>SUM(C49:C52)</f>
        <v>825400</v>
      </c>
      <c r="D55" s="12"/>
      <c r="E55" s="113">
        <f>SUM(E49:E52)</f>
        <v>917200</v>
      </c>
      <c r="F55" s="12"/>
      <c r="G55" s="113">
        <f>SUM(G49:G51)</f>
        <v>-91800</v>
      </c>
      <c r="H55" s="33"/>
    </row>
    <row r="56" spans="1:8" x14ac:dyDescent="0.25">
      <c r="C56" s="23"/>
      <c r="E56" s="23"/>
      <c r="H56" s="33"/>
    </row>
    <row r="57" spans="1:8" x14ac:dyDescent="0.25">
      <c r="B57" s="4" t="s">
        <v>166</v>
      </c>
      <c r="C57" s="23">
        <v>451400</v>
      </c>
      <c r="E57" s="23">
        <f>451400+36600</f>
        <v>488000</v>
      </c>
      <c r="G57" s="23">
        <f>E57-C57</f>
        <v>36600</v>
      </c>
      <c r="H57" s="33"/>
    </row>
    <row r="58" spans="1:8" x14ac:dyDescent="0.25">
      <c r="B58" s="4" t="s">
        <v>188</v>
      </c>
      <c r="C58" s="23">
        <v>36000</v>
      </c>
      <c r="E58" s="23">
        <f>36000+9000</f>
        <v>45000</v>
      </c>
      <c r="G58" s="23">
        <f>E58-C58</f>
        <v>9000</v>
      </c>
      <c r="H58" s="33"/>
    </row>
    <row r="59" spans="1:8" x14ac:dyDescent="0.25">
      <c r="B59" s="4" t="s">
        <v>169</v>
      </c>
      <c r="C59" s="23">
        <v>5000</v>
      </c>
      <c r="E59" s="23">
        <f>5000-5000</f>
        <v>0</v>
      </c>
      <c r="G59" s="23">
        <f>E59-C59</f>
        <v>-5000</v>
      </c>
      <c r="H59" s="33"/>
    </row>
    <row r="60" spans="1:8" x14ac:dyDescent="0.25">
      <c r="C60" s="23"/>
      <c r="E60" s="23"/>
      <c r="H60" s="33"/>
    </row>
    <row r="61" spans="1:8" x14ac:dyDescent="0.25">
      <c r="C61" s="109"/>
      <c r="E61" s="109"/>
      <c r="G61" s="109"/>
      <c r="H61" s="33"/>
    </row>
    <row r="62" spans="1:8" s="6" customFormat="1" x14ac:dyDescent="0.25">
      <c r="A62" s="8"/>
      <c r="B62" s="11" t="s">
        <v>55</v>
      </c>
      <c r="C62" s="113">
        <f>+C55-C57-C59-C58</f>
        <v>333000</v>
      </c>
      <c r="D62" s="115"/>
      <c r="E62" s="113">
        <f>+E55-E57-E59-E58</f>
        <v>384200</v>
      </c>
      <c r="F62" s="12"/>
      <c r="G62" s="113">
        <f>C62-E62</f>
        <v>-51200</v>
      </c>
      <c r="H62" s="33"/>
    </row>
    <row r="63" spans="1:8" ht="18.75" thickBot="1" x14ac:dyDescent="0.3">
      <c r="C63" s="110"/>
      <c r="E63" s="110"/>
      <c r="G63" s="110"/>
    </row>
    <row r="64" spans="1:8" ht="18.75" thickTop="1" x14ac:dyDescent="0.25">
      <c r="C64" s="23"/>
      <c r="E64" s="23"/>
    </row>
    <row r="65" spans="1:7" x14ac:dyDescent="0.25">
      <c r="C65" s="113"/>
      <c r="D65" s="114"/>
      <c r="E65" s="113"/>
    </row>
    <row r="66" spans="1:7" ht="41.25" customHeight="1" x14ac:dyDescent="0.25">
      <c r="B66" s="224" t="s">
        <v>113</v>
      </c>
      <c r="C66" s="225"/>
      <c r="D66" s="225"/>
      <c r="E66" s="225"/>
      <c r="F66" s="225"/>
      <c r="G66" s="226"/>
    </row>
    <row r="67" spans="1:7" x14ac:dyDescent="0.25">
      <c r="C67" s="23"/>
      <c r="E67" s="23"/>
    </row>
    <row r="68" spans="1:7" x14ac:dyDescent="0.25">
      <c r="C68" s="23"/>
      <c r="E68" s="23"/>
    </row>
    <row r="69" spans="1:7" x14ac:dyDescent="0.25">
      <c r="A69" s="5"/>
      <c r="B69" s="166"/>
      <c r="C69" s="104" t="s">
        <v>200</v>
      </c>
      <c r="E69" s="104" t="s">
        <v>212</v>
      </c>
      <c r="G69" s="104"/>
    </row>
    <row r="70" spans="1:7" x14ac:dyDescent="0.25">
      <c r="C70" s="105" t="s">
        <v>95</v>
      </c>
      <c r="E70" s="105" t="s">
        <v>40</v>
      </c>
      <c r="G70" s="105" t="s">
        <v>41</v>
      </c>
    </row>
    <row r="71" spans="1:7" x14ac:dyDescent="0.25">
      <c r="B71" s="3"/>
      <c r="C71" s="106" t="s">
        <v>42</v>
      </c>
      <c r="E71" s="106" t="s">
        <v>42</v>
      </c>
      <c r="G71" s="106" t="s">
        <v>28</v>
      </c>
    </row>
    <row r="72" spans="1:7" x14ac:dyDescent="0.25">
      <c r="C72" s="23"/>
      <c r="E72" s="23"/>
    </row>
    <row r="73" spans="1:7" ht="20.25" x14ac:dyDescent="0.3">
      <c r="B73" s="118" t="s">
        <v>121</v>
      </c>
      <c r="C73" s="23" t="s">
        <v>0</v>
      </c>
      <c r="E73" s="23" t="s">
        <v>0</v>
      </c>
      <c r="G73" s="23" t="s">
        <v>0</v>
      </c>
    </row>
    <row r="74" spans="1:7" x14ac:dyDescent="0.25">
      <c r="C74" s="23"/>
      <c r="E74" s="23"/>
    </row>
    <row r="75" spans="1:7" x14ac:dyDescent="0.25">
      <c r="B75" s="4" t="s">
        <v>83</v>
      </c>
      <c r="C75" s="23">
        <v>140100</v>
      </c>
      <c r="E75" s="23">
        <f>140100+15300-500</f>
        <v>154900</v>
      </c>
      <c r="G75" s="103">
        <f>C75-E75</f>
        <v>-14800</v>
      </c>
    </row>
    <row r="76" spans="1:7" x14ac:dyDescent="0.25">
      <c r="B76" s="4" t="s">
        <v>56</v>
      </c>
      <c r="C76" s="23">
        <v>2500</v>
      </c>
      <c r="E76" s="23">
        <f>2400+100-100</f>
        <v>2400</v>
      </c>
      <c r="G76" s="103">
        <f>C76-E76</f>
        <v>100</v>
      </c>
    </row>
    <row r="77" spans="1:7" x14ac:dyDescent="0.25">
      <c r="C77" s="112"/>
      <c r="E77" s="112"/>
      <c r="G77" s="126"/>
    </row>
    <row r="78" spans="1:7" s="1" customFormat="1" x14ac:dyDescent="0.25">
      <c r="C78" s="113"/>
      <c r="D78" s="114"/>
      <c r="E78" s="113"/>
      <c r="F78" s="114"/>
      <c r="G78" s="113"/>
    </row>
    <row r="79" spans="1:7" s="8" customFormat="1" x14ac:dyDescent="0.25">
      <c r="B79" s="11" t="s">
        <v>55</v>
      </c>
      <c r="C79" s="113">
        <f>C75+C76</f>
        <v>142600</v>
      </c>
      <c r="D79" s="115"/>
      <c r="E79" s="113">
        <f>E75+E76</f>
        <v>157300</v>
      </c>
      <c r="F79" s="115"/>
      <c r="G79" s="113">
        <f>SUM(G75:G78)</f>
        <v>-14700</v>
      </c>
    </row>
    <row r="80" spans="1:7" ht="18.75" thickBot="1" x14ac:dyDescent="0.3">
      <c r="B80" s="6"/>
      <c r="C80" s="116"/>
      <c r="E80" s="116"/>
      <c r="G80" s="116"/>
    </row>
    <row r="81" spans="1:7" ht="18.75" thickTop="1" x14ac:dyDescent="0.25">
      <c r="C81" s="23"/>
      <c r="E81" s="23"/>
    </row>
    <row r="82" spans="1:7" x14ac:dyDescent="0.25">
      <c r="C82" s="23"/>
      <c r="E82" s="23"/>
    </row>
    <row r="83" spans="1:7" ht="41.25" customHeight="1" x14ac:dyDescent="0.25">
      <c r="B83" s="224" t="s">
        <v>113</v>
      </c>
      <c r="C83" s="225"/>
      <c r="D83" s="225"/>
      <c r="E83" s="225"/>
      <c r="F83" s="225"/>
      <c r="G83" s="226"/>
    </row>
    <row r="84" spans="1:7" x14ac:dyDescent="0.25">
      <c r="C84" s="113"/>
      <c r="D84" s="114"/>
      <c r="E84" s="113"/>
    </row>
    <row r="85" spans="1:7" x14ac:dyDescent="0.25">
      <c r="C85" s="23"/>
      <c r="E85" s="23"/>
    </row>
    <row r="86" spans="1:7" x14ac:dyDescent="0.25">
      <c r="A86" s="5"/>
      <c r="B86" s="166"/>
      <c r="C86" s="104" t="s">
        <v>200</v>
      </c>
      <c r="E86" s="104" t="s">
        <v>212</v>
      </c>
      <c r="G86" s="104"/>
    </row>
    <row r="87" spans="1:7" x14ac:dyDescent="0.25">
      <c r="C87" s="105" t="s">
        <v>95</v>
      </c>
      <c r="E87" s="105" t="s">
        <v>40</v>
      </c>
      <c r="G87" s="105" t="s">
        <v>41</v>
      </c>
    </row>
    <row r="88" spans="1:7" x14ac:dyDescent="0.25">
      <c r="B88" s="2"/>
      <c r="C88" s="106" t="s">
        <v>42</v>
      </c>
      <c r="E88" s="106" t="s">
        <v>42</v>
      </c>
      <c r="G88" s="106" t="s">
        <v>28</v>
      </c>
    </row>
    <row r="89" spans="1:7" x14ac:dyDescent="0.25">
      <c r="B89" s="2"/>
      <c r="C89" s="23"/>
      <c r="E89" s="23"/>
    </row>
    <row r="90" spans="1:7" ht="20.25" x14ac:dyDescent="0.3">
      <c r="B90" s="160" t="s">
        <v>115</v>
      </c>
      <c r="C90" s="23" t="s">
        <v>0</v>
      </c>
      <c r="E90" s="23" t="s">
        <v>0</v>
      </c>
      <c r="G90" s="23" t="s">
        <v>0</v>
      </c>
    </row>
    <row r="91" spans="1:7" x14ac:dyDescent="0.25">
      <c r="C91" s="23"/>
      <c r="E91" s="23"/>
    </row>
    <row r="92" spans="1:7" x14ac:dyDescent="0.25">
      <c r="B92" s="4" t="s">
        <v>83</v>
      </c>
      <c r="C92" s="113">
        <v>46800</v>
      </c>
      <c r="D92" s="114"/>
      <c r="E92" s="113">
        <f>46800+128100-2200</f>
        <v>172700</v>
      </c>
      <c r="F92" s="114"/>
      <c r="G92" s="114">
        <f>C92-E92</f>
        <v>-125900</v>
      </c>
    </row>
    <row r="93" spans="1:7" x14ac:dyDescent="0.25">
      <c r="B93" s="4" t="s">
        <v>56</v>
      </c>
      <c r="C93" s="113">
        <v>5100</v>
      </c>
      <c r="D93" s="114"/>
      <c r="E93" s="113">
        <f>5100+7000-100</f>
        <v>12000</v>
      </c>
      <c r="F93" s="114"/>
      <c r="G93" s="114">
        <f>C93-E93</f>
        <v>-6900</v>
      </c>
    </row>
    <row r="94" spans="1:7" x14ac:dyDescent="0.25">
      <c r="B94" s="4" t="s">
        <v>174</v>
      </c>
      <c r="C94" s="112">
        <v>10000</v>
      </c>
      <c r="E94" s="112">
        <v>10000</v>
      </c>
      <c r="G94" s="126">
        <f>C94-E94</f>
        <v>0</v>
      </c>
    </row>
    <row r="95" spans="1:7" s="1" customFormat="1" x14ac:dyDescent="0.25">
      <c r="C95" s="113"/>
      <c r="D95" s="114"/>
      <c r="E95" s="113"/>
      <c r="F95" s="114"/>
      <c r="G95" s="103"/>
    </row>
    <row r="96" spans="1:7" s="6" customFormat="1" x14ac:dyDescent="0.25">
      <c r="B96" s="6" t="s">
        <v>67</v>
      </c>
      <c r="C96" s="23">
        <f>SUM(C91:C94)</f>
        <v>61900</v>
      </c>
      <c r="D96" s="12"/>
      <c r="E96" s="23">
        <f>SUM(E91:E94)</f>
        <v>194700</v>
      </c>
      <c r="F96" s="12"/>
      <c r="G96" s="12">
        <f>SUM(G92:G95)</f>
        <v>-132800</v>
      </c>
    </row>
    <row r="97" spans="1:7" x14ac:dyDescent="0.25">
      <c r="C97" s="23"/>
      <c r="E97" s="23"/>
    </row>
    <row r="98" spans="1:7" x14ac:dyDescent="0.25">
      <c r="B98" s="9" t="s">
        <v>191</v>
      </c>
      <c r="C98" s="23">
        <v>200000</v>
      </c>
      <c r="E98" s="23">
        <f>200000+72000</f>
        <v>272000</v>
      </c>
      <c r="G98" s="103">
        <f>E98-C98</f>
        <v>72000</v>
      </c>
    </row>
    <row r="99" spans="1:7" x14ac:dyDescent="0.25">
      <c r="B99" s="9" t="s">
        <v>189</v>
      </c>
      <c r="C99" s="23">
        <v>41100</v>
      </c>
      <c r="E99" s="23">
        <f>41100+2500</f>
        <v>43600</v>
      </c>
      <c r="G99" s="24">
        <f>E99-C99</f>
        <v>2500</v>
      </c>
    </row>
    <row r="100" spans="1:7" x14ac:dyDescent="0.25">
      <c r="B100" s="9" t="s">
        <v>190</v>
      </c>
      <c r="C100" s="23">
        <v>620100</v>
      </c>
      <c r="E100" s="23">
        <f>620100-2000</f>
        <v>618100</v>
      </c>
      <c r="G100" s="24">
        <f>E100-C100</f>
        <v>-2000</v>
      </c>
    </row>
    <row r="101" spans="1:7" x14ac:dyDescent="0.25">
      <c r="B101" s="9"/>
      <c r="C101" s="112"/>
      <c r="E101" s="112"/>
      <c r="G101" s="126"/>
    </row>
    <row r="102" spans="1:7" x14ac:dyDescent="0.25">
      <c r="B102" s="9"/>
      <c r="C102" s="23"/>
      <c r="E102" s="23"/>
    </row>
    <row r="103" spans="1:7" x14ac:dyDescent="0.25">
      <c r="B103" s="11" t="s">
        <v>58</v>
      </c>
      <c r="C103" s="23">
        <f>SUM(C98:C102)</f>
        <v>861200</v>
      </c>
      <c r="E103" s="23">
        <f>SUM(E98:E102)</f>
        <v>933700</v>
      </c>
      <c r="G103" s="12">
        <f>SUM(G98:G102)</f>
        <v>72500</v>
      </c>
    </row>
    <row r="104" spans="1:7" x14ac:dyDescent="0.25">
      <c r="B104" s="9"/>
      <c r="C104" s="23"/>
      <c r="E104" s="23"/>
      <c r="G104" s="23"/>
    </row>
    <row r="105" spans="1:7" x14ac:dyDescent="0.25">
      <c r="B105" s="9"/>
      <c r="C105" s="109"/>
      <c r="E105" s="109"/>
      <c r="G105" s="109"/>
    </row>
    <row r="106" spans="1:7" x14ac:dyDescent="0.25">
      <c r="A106" s="8"/>
      <c r="B106" s="11" t="s">
        <v>55</v>
      </c>
      <c r="C106" s="113">
        <f>C96-C103</f>
        <v>-799300</v>
      </c>
      <c r="D106" s="114"/>
      <c r="E106" s="113">
        <f>E96-E103</f>
        <v>-739000</v>
      </c>
      <c r="G106" s="113">
        <f>C106-E106</f>
        <v>-60300</v>
      </c>
    </row>
    <row r="107" spans="1:7" ht="18.75" thickBot="1" x14ac:dyDescent="0.3">
      <c r="B107" s="6"/>
      <c r="C107" s="116"/>
      <c r="E107" s="116"/>
      <c r="G107" s="116"/>
    </row>
    <row r="108" spans="1:7" ht="18.75" thickTop="1" x14ac:dyDescent="0.25">
      <c r="B108" s="6"/>
      <c r="C108" s="102"/>
      <c r="E108" s="102"/>
    </row>
    <row r="110" spans="1:7" ht="41.25" customHeight="1" x14ac:dyDescent="0.25">
      <c r="B110" s="224" t="s">
        <v>113</v>
      </c>
      <c r="C110" s="225"/>
      <c r="D110" s="225"/>
      <c r="E110" s="225"/>
      <c r="F110" s="225"/>
      <c r="G110" s="226"/>
    </row>
    <row r="111" spans="1:7" x14ac:dyDescent="0.25">
      <c r="C111" s="23"/>
      <c r="E111" s="23"/>
    </row>
    <row r="112" spans="1:7" x14ac:dyDescent="0.25">
      <c r="C112" s="23"/>
      <c r="E112" s="23"/>
    </row>
    <row r="113" spans="1:7" x14ac:dyDescent="0.25">
      <c r="A113" s="5"/>
      <c r="B113" s="166"/>
      <c r="C113" s="104" t="s">
        <v>200</v>
      </c>
      <c r="E113" s="104" t="s">
        <v>212</v>
      </c>
      <c r="G113" s="104"/>
    </row>
    <row r="114" spans="1:7" x14ac:dyDescent="0.25">
      <c r="C114" s="105" t="s">
        <v>95</v>
      </c>
      <c r="E114" s="105" t="s">
        <v>40</v>
      </c>
      <c r="G114" s="105" t="s">
        <v>41</v>
      </c>
    </row>
    <row r="115" spans="1:7" x14ac:dyDescent="0.25">
      <c r="B115" s="3"/>
      <c r="C115" s="106" t="s">
        <v>42</v>
      </c>
      <c r="E115" s="106" t="s">
        <v>42</v>
      </c>
      <c r="G115" s="106" t="s">
        <v>28</v>
      </c>
    </row>
    <row r="116" spans="1:7" x14ac:dyDescent="0.25">
      <c r="C116" s="23"/>
      <c r="E116" s="23"/>
    </row>
    <row r="117" spans="1:7" ht="20.25" x14ac:dyDescent="0.3">
      <c r="B117" s="118" t="s">
        <v>122</v>
      </c>
      <c r="C117" s="23" t="s">
        <v>0</v>
      </c>
      <c r="E117" s="23" t="s">
        <v>0</v>
      </c>
      <c r="G117" s="23" t="s">
        <v>0</v>
      </c>
    </row>
    <row r="118" spans="1:7" x14ac:dyDescent="0.25">
      <c r="C118" s="23"/>
      <c r="E118" s="23"/>
    </row>
    <row r="119" spans="1:7" x14ac:dyDescent="0.25">
      <c r="B119" s="4" t="s">
        <v>83</v>
      </c>
      <c r="C119" s="23">
        <v>236900</v>
      </c>
      <c r="D119" s="23"/>
      <c r="E119" s="23">
        <f>236900-31300+308900+159400-40000-2700-5000+50000</f>
        <v>676200</v>
      </c>
      <c r="G119" s="103">
        <f t="shared" ref="G119:G124" si="2">C119-E119</f>
        <v>-439300</v>
      </c>
    </row>
    <row r="120" spans="1:7" x14ac:dyDescent="0.25">
      <c r="B120" s="4" t="s">
        <v>56</v>
      </c>
      <c r="C120" s="23">
        <v>25200</v>
      </c>
      <c r="D120" s="23"/>
      <c r="E120" s="23">
        <f>25200-14800</f>
        <v>10400</v>
      </c>
      <c r="G120" s="103">
        <f t="shared" si="2"/>
        <v>14800</v>
      </c>
    </row>
    <row r="121" spans="1:7" x14ac:dyDescent="0.25">
      <c r="B121" s="4" t="s">
        <v>175</v>
      </c>
      <c r="C121" s="23">
        <v>600000</v>
      </c>
      <c r="D121" s="23"/>
      <c r="E121" s="23">
        <v>600000</v>
      </c>
      <c r="G121" s="103">
        <f t="shared" si="2"/>
        <v>0</v>
      </c>
    </row>
    <row r="122" spans="1:7" x14ac:dyDescent="0.25">
      <c r="B122" s="4" t="s">
        <v>57</v>
      </c>
      <c r="C122" s="23">
        <v>10000</v>
      </c>
      <c r="D122" s="23"/>
      <c r="E122" s="23">
        <v>10000</v>
      </c>
      <c r="G122" s="103">
        <f t="shared" si="2"/>
        <v>0</v>
      </c>
    </row>
    <row r="123" spans="1:7" x14ac:dyDescent="0.25">
      <c r="B123" s="4" t="s">
        <v>176</v>
      </c>
      <c r="C123" s="23">
        <v>200000</v>
      </c>
      <c r="D123" s="23"/>
      <c r="E123" s="23">
        <v>200000</v>
      </c>
      <c r="G123" s="103">
        <f t="shared" si="2"/>
        <v>0</v>
      </c>
    </row>
    <row r="124" spans="1:7" x14ac:dyDescent="0.25">
      <c r="B124" s="4" t="s">
        <v>183</v>
      </c>
      <c r="C124" s="23">
        <v>100000</v>
      </c>
      <c r="D124" s="23"/>
      <c r="E124" s="23">
        <v>100000</v>
      </c>
      <c r="G124" s="126">
        <f t="shared" si="2"/>
        <v>0</v>
      </c>
    </row>
    <row r="125" spans="1:7" x14ac:dyDescent="0.25">
      <c r="C125" s="109"/>
      <c r="D125" s="109"/>
      <c r="E125" s="109"/>
    </row>
    <row r="126" spans="1:7" s="6" customFormat="1" x14ac:dyDescent="0.25">
      <c r="B126" s="6" t="s">
        <v>67</v>
      </c>
      <c r="C126" s="23">
        <f>SUM(C118:C124)</f>
        <v>1172100</v>
      </c>
      <c r="D126" s="23"/>
      <c r="E126" s="23">
        <f>SUM(E118:E124)</f>
        <v>1596600</v>
      </c>
      <c r="F126" s="12"/>
      <c r="G126" s="12">
        <f>SUM(G119:G125)</f>
        <v>-424500</v>
      </c>
    </row>
    <row r="127" spans="1:7" x14ac:dyDescent="0.25">
      <c r="C127" s="23"/>
      <c r="D127" s="23"/>
      <c r="E127" s="23"/>
    </row>
    <row r="128" spans="1:7" x14ac:dyDescent="0.25">
      <c r="B128" s="4" t="s">
        <v>193</v>
      </c>
      <c r="C128" s="23">
        <v>1200000</v>
      </c>
      <c r="D128" s="23"/>
      <c r="E128" s="23">
        <f>1200000+500000</f>
        <v>1700000</v>
      </c>
      <c r="G128" s="19">
        <f t="shared" ref="G128:G137" si="3">E128-C128</f>
        <v>500000</v>
      </c>
    </row>
    <row r="129" spans="2:8" x14ac:dyDescent="0.25">
      <c r="B129" s="4" t="s">
        <v>192</v>
      </c>
      <c r="C129" s="23">
        <v>2600000</v>
      </c>
      <c r="D129" s="23"/>
      <c r="E129" s="23">
        <v>2600000</v>
      </c>
      <c r="G129" s="19">
        <f t="shared" si="3"/>
        <v>0</v>
      </c>
    </row>
    <row r="130" spans="2:8" x14ac:dyDescent="0.25">
      <c r="B130" s="4" t="s">
        <v>207</v>
      </c>
      <c r="C130" s="23">
        <v>500000</v>
      </c>
      <c r="D130" s="23"/>
      <c r="E130" s="23">
        <v>0</v>
      </c>
      <c r="G130" s="19">
        <f t="shared" si="3"/>
        <v>-500000</v>
      </c>
    </row>
    <row r="131" spans="2:8" x14ac:dyDescent="0.25">
      <c r="B131" s="4" t="s">
        <v>216</v>
      </c>
      <c r="C131" s="23">
        <v>78000</v>
      </c>
      <c r="D131" s="23"/>
      <c r="E131" s="23">
        <f>78000-6000</f>
        <v>72000</v>
      </c>
      <c r="G131" s="19">
        <f t="shared" si="3"/>
        <v>-6000</v>
      </c>
    </row>
    <row r="132" spans="2:8" x14ac:dyDescent="0.25">
      <c r="B132" s="4" t="s">
        <v>194</v>
      </c>
      <c r="C132" s="23">
        <v>60000</v>
      </c>
      <c r="D132" s="23"/>
      <c r="E132" s="23">
        <f>60000-10000</f>
        <v>50000</v>
      </c>
      <c r="G132" s="19">
        <f t="shared" si="3"/>
        <v>-10000</v>
      </c>
    </row>
    <row r="133" spans="2:8" x14ac:dyDescent="0.25">
      <c r="B133" s="7" t="s">
        <v>123</v>
      </c>
      <c r="C133" s="23">
        <v>377500</v>
      </c>
      <c r="D133" s="23"/>
      <c r="E133" s="23">
        <f>377500+38900</f>
        <v>416400</v>
      </c>
      <c r="G133" s="19">
        <f t="shared" si="3"/>
        <v>38900</v>
      </c>
    </row>
    <row r="134" spans="2:8" x14ac:dyDescent="0.25">
      <c r="B134" s="7" t="s">
        <v>197</v>
      </c>
      <c r="C134" s="23">
        <v>246300</v>
      </c>
      <c r="D134" s="23"/>
      <c r="E134" s="23">
        <f>246300+5800</f>
        <v>252100</v>
      </c>
      <c r="G134" s="4">
        <f t="shared" si="3"/>
        <v>5800</v>
      </c>
    </row>
    <row r="135" spans="2:8" x14ac:dyDescent="0.25">
      <c r="B135" s="7" t="s">
        <v>195</v>
      </c>
      <c r="C135" s="23">
        <v>176500</v>
      </c>
      <c r="D135" s="23"/>
      <c r="E135" s="23">
        <f>176500+3000+44500</f>
        <v>224000</v>
      </c>
      <c r="G135" s="4">
        <f t="shared" si="3"/>
        <v>47500</v>
      </c>
    </row>
    <row r="136" spans="2:8" x14ac:dyDescent="0.25">
      <c r="B136" s="9" t="s">
        <v>196</v>
      </c>
      <c r="C136" s="113">
        <v>1512600</v>
      </c>
      <c r="D136" s="113"/>
      <c r="E136" s="113">
        <f>1512600+24300-7600+130000+74000+50000</f>
        <v>1783300</v>
      </c>
      <c r="F136" s="114"/>
      <c r="G136" s="4">
        <f t="shared" si="3"/>
        <v>270700</v>
      </c>
    </row>
    <row r="137" spans="2:8" x14ac:dyDescent="0.25">
      <c r="B137" s="9" t="s">
        <v>198</v>
      </c>
      <c r="C137" s="113">
        <v>25000</v>
      </c>
      <c r="D137" s="113"/>
      <c r="E137" s="113">
        <f>25000+7000</f>
        <v>32000</v>
      </c>
      <c r="F137" s="114"/>
      <c r="G137" s="1">
        <f t="shared" si="3"/>
        <v>7000</v>
      </c>
    </row>
    <row r="138" spans="2:8" x14ac:dyDescent="0.25">
      <c r="B138" s="9"/>
      <c r="C138" s="112"/>
      <c r="E138" s="112"/>
      <c r="G138" s="10"/>
    </row>
    <row r="139" spans="2:8" x14ac:dyDescent="0.25">
      <c r="B139" s="9"/>
      <c r="C139" s="113"/>
      <c r="E139" s="113"/>
    </row>
    <row r="140" spans="2:8" x14ac:dyDescent="0.25">
      <c r="B140" s="11" t="s">
        <v>58</v>
      </c>
      <c r="C140" s="23">
        <f>SUM(C128:C137)</f>
        <v>6775900</v>
      </c>
      <c r="E140" s="23">
        <f>SUM(E128:E137)</f>
        <v>7129800</v>
      </c>
      <c r="F140" s="23"/>
      <c r="G140" s="23">
        <f>SUM(G128:G139)</f>
        <v>353900</v>
      </c>
      <c r="H140" s="17"/>
    </row>
    <row r="141" spans="2:8" x14ac:dyDescent="0.25">
      <c r="C141" s="23"/>
      <c r="E141" s="23"/>
    </row>
    <row r="142" spans="2:8" x14ac:dyDescent="0.25">
      <c r="C142" s="109"/>
      <c r="E142" s="109"/>
      <c r="G142" s="109"/>
    </row>
    <row r="143" spans="2:8" s="1" customFormat="1" x14ac:dyDescent="0.25">
      <c r="B143" s="11" t="s">
        <v>55</v>
      </c>
      <c r="C143" s="113">
        <f>C126-C140</f>
        <v>-5603800</v>
      </c>
      <c r="D143" s="114"/>
      <c r="E143" s="113">
        <f>E126-E140</f>
        <v>-5533200</v>
      </c>
      <c r="F143" s="114"/>
      <c r="G143" s="113">
        <f>G140+G126</f>
        <v>-70600</v>
      </c>
    </row>
    <row r="144" spans="2:8" ht="18.75" thickBot="1" x14ac:dyDescent="0.3">
      <c r="C144" s="110"/>
      <c r="E144" s="110"/>
      <c r="G144" s="110"/>
    </row>
    <row r="145" spans="1:7" ht="18.75" thickTop="1" x14ac:dyDescent="0.25">
      <c r="C145" s="23"/>
      <c r="E145" s="23"/>
    </row>
    <row r="146" spans="1:7" x14ac:dyDescent="0.25">
      <c r="C146" s="23"/>
      <c r="E146" s="23"/>
    </row>
    <row r="147" spans="1:7" ht="41.25" customHeight="1" x14ac:dyDescent="0.25">
      <c r="B147" s="224" t="s">
        <v>113</v>
      </c>
      <c r="C147" s="225"/>
      <c r="D147" s="225"/>
      <c r="E147" s="225"/>
      <c r="F147" s="225"/>
      <c r="G147" s="226"/>
    </row>
    <row r="148" spans="1:7" x14ac:dyDescent="0.25">
      <c r="C148" s="23"/>
      <c r="E148" s="23"/>
    </row>
    <row r="149" spans="1:7" x14ac:dyDescent="0.25">
      <c r="C149" s="23"/>
      <c r="E149" s="23"/>
    </row>
    <row r="150" spans="1:7" x14ac:dyDescent="0.25">
      <c r="A150" s="5"/>
      <c r="B150" s="166"/>
      <c r="C150" s="104" t="s">
        <v>200</v>
      </c>
      <c r="E150" s="104" t="s">
        <v>212</v>
      </c>
      <c r="G150" s="104"/>
    </row>
    <row r="151" spans="1:7" x14ac:dyDescent="0.25">
      <c r="C151" s="105" t="s">
        <v>95</v>
      </c>
      <c r="E151" s="105" t="s">
        <v>40</v>
      </c>
      <c r="G151" s="105" t="s">
        <v>41</v>
      </c>
    </row>
    <row r="152" spans="1:7" x14ac:dyDescent="0.25">
      <c r="B152" s="3"/>
      <c r="C152" s="106" t="s">
        <v>42</v>
      </c>
      <c r="E152" s="106" t="s">
        <v>42</v>
      </c>
      <c r="G152" s="106" t="s">
        <v>28</v>
      </c>
    </row>
    <row r="153" spans="1:7" x14ac:dyDescent="0.25">
      <c r="C153" s="23"/>
      <c r="E153" s="23"/>
    </row>
    <row r="154" spans="1:7" ht="20.25" x14ac:dyDescent="0.3">
      <c r="B154" s="118" t="s">
        <v>117</v>
      </c>
      <c r="C154" s="23" t="s">
        <v>0</v>
      </c>
      <c r="E154" s="23" t="s">
        <v>0</v>
      </c>
      <c r="G154" s="23" t="s">
        <v>0</v>
      </c>
    </row>
    <row r="155" spans="1:7" x14ac:dyDescent="0.25">
      <c r="C155" s="23"/>
      <c r="E155" s="23"/>
    </row>
    <row r="156" spans="1:7" x14ac:dyDescent="0.25">
      <c r="B156" s="4" t="s">
        <v>83</v>
      </c>
      <c r="C156" s="23">
        <v>74700</v>
      </c>
      <c r="E156" s="23">
        <f>74700-14700+10000</f>
        <v>70000</v>
      </c>
      <c r="G156" s="103">
        <f>C156-E156</f>
        <v>4700</v>
      </c>
    </row>
    <row r="157" spans="1:7" x14ac:dyDescent="0.25">
      <c r="B157" s="4" t="s">
        <v>174</v>
      </c>
      <c r="C157" s="23">
        <v>105300</v>
      </c>
      <c r="E157" s="23">
        <f>105300-5300</f>
        <v>100000</v>
      </c>
      <c r="G157" s="103">
        <f>C157-E157</f>
        <v>5300</v>
      </c>
    </row>
    <row r="158" spans="1:7" x14ac:dyDescent="0.25">
      <c r="C158" s="112"/>
      <c r="E158" s="112"/>
      <c r="G158" s="126"/>
    </row>
    <row r="159" spans="1:7" s="1" customFormat="1" x14ac:dyDescent="0.25">
      <c r="C159" s="113"/>
      <c r="D159" s="114"/>
      <c r="E159" s="113"/>
      <c r="F159" s="114"/>
      <c r="G159" s="114"/>
    </row>
    <row r="160" spans="1:7" s="6" customFormat="1" x14ac:dyDescent="0.25">
      <c r="B160" s="6" t="s">
        <v>67</v>
      </c>
      <c r="C160" s="23">
        <f>SUM(C155:C158)</f>
        <v>180000</v>
      </c>
      <c r="D160" s="12"/>
      <c r="E160" s="23">
        <f>SUM(E155:E158)</f>
        <v>170000</v>
      </c>
      <c r="F160" s="12"/>
      <c r="G160" s="12">
        <f>C160-E160</f>
        <v>10000</v>
      </c>
    </row>
    <row r="161" spans="1:7" x14ac:dyDescent="0.25">
      <c r="B161" s="9"/>
      <c r="C161" s="23"/>
      <c r="E161" s="23"/>
    </row>
    <row r="162" spans="1:7" x14ac:dyDescent="0.25">
      <c r="B162" s="9" t="s">
        <v>26</v>
      </c>
      <c r="C162" s="23">
        <v>787300</v>
      </c>
      <c r="E162" s="23">
        <f>787300+100000+22700</f>
        <v>910000</v>
      </c>
      <c r="G162" s="23">
        <f>E162-C162</f>
        <v>122700</v>
      </c>
    </row>
    <row r="163" spans="1:7" x14ac:dyDescent="0.25">
      <c r="B163" s="9"/>
      <c r="C163" s="112"/>
      <c r="E163" s="112"/>
      <c r="G163" s="126"/>
    </row>
    <row r="164" spans="1:7" s="1" customFormat="1" x14ac:dyDescent="0.25">
      <c r="C164" s="113"/>
      <c r="D164" s="114"/>
      <c r="E164" s="113"/>
      <c r="F164" s="114"/>
      <c r="G164" s="113"/>
    </row>
    <row r="165" spans="1:7" s="1" customFormat="1" x14ac:dyDescent="0.25">
      <c r="B165" s="11" t="s">
        <v>55</v>
      </c>
      <c r="C165" s="113">
        <f>C160-C162</f>
        <v>-607300</v>
      </c>
      <c r="D165" s="114"/>
      <c r="E165" s="113">
        <f>E160-E162</f>
        <v>-740000</v>
      </c>
      <c r="F165" s="114"/>
      <c r="G165" s="113">
        <f>C165-E165</f>
        <v>132700</v>
      </c>
    </row>
    <row r="166" spans="1:7" ht="18.75" thickBot="1" x14ac:dyDescent="0.3">
      <c r="B166" s="6"/>
      <c r="C166" s="116"/>
      <c r="E166" s="116"/>
      <c r="G166" s="116"/>
    </row>
    <row r="167" spans="1:7" ht="18.75" thickTop="1" x14ac:dyDescent="0.25">
      <c r="A167" s="134"/>
      <c r="C167" s="113"/>
      <c r="E167" s="113"/>
    </row>
    <row r="168" spans="1:7" x14ac:dyDescent="0.25">
      <c r="A168" s="134"/>
      <c r="C168" s="113"/>
      <c r="E168" s="113"/>
    </row>
    <row r="169" spans="1:7" ht="41.25" customHeight="1" x14ac:dyDescent="0.25">
      <c r="B169" s="224" t="s">
        <v>113</v>
      </c>
      <c r="C169" s="225"/>
      <c r="D169" s="225"/>
      <c r="E169" s="225"/>
      <c r="F169" s="225"/>
      <c r="G169" s="226"/>
    </row>
    <row r="170" spans="1:7" ht="20.25" customHeight="1" x14ac:dyDescent="0.25">
      <c r="B170" s="161"/>
      <c r="C170" s="161"/>
      <c r="D170" s="161"/>
      <c r="E170" s="161"/>
      <c r="F170" s="161"/>
      <c r="G170" s="161"/>
    </row>
    <row r="171" spans="1:7" x14ac:dyDescent="0.25">
      <c r="A171" s="133"/>
      <c r="C171" s="23"/>
      <c r="E171" s="23"/>
    </row>
    <row r="172" spans="1:7" x14ac:dyDescent="0.25">
      <c r="A172" s="5"/>
      <c r="B172" s="166"/>
      <c r="C172" s="104" t="s">
        <v>200</v>
      </c>
      <c r="E172" s="104" t="s">
        <v>212</v>
      </c>
      <c r="G172" s="104"/>
    </row>
    <row r="173" spans="1:7" x14ac:dyDescent="0.25">
      <c r="C173" s="105" t="s">
        <v>95</v>
      </c>
      <c r="E173" s="105" t="s">
        <v>40</v>
      </c>
      <c r="G173" s="105" t="s">
        <v>41</v>
      </c>
    </row>
    <row r="174" spans="1:7" x14ac:dyDescent="0.25">
      <c r="A174" s="125"/>
      <c r="B174" s="2"/>
      <c r="C174" s="106" t="s">
        <v>42</v>
      </c>
      <c r="E174" s="106" t="s">
        <v>42</v>
      </c>
      <c r="G174" s="106" t="s">
        <v>28</v>
      </c>
    </row>
    <row r="175" spans="1:7" x14ac:dyDescent="0.25">
      <c r="A175" s="133"/>
      <c r="B175" s="6"/>
      <c r="C175" s="23"/>
      <c r="E175" s="23"/>
    </row>
    <row r="176" spans="1:7" ht="20.25" x14ac:dyDescent="0.3">
      <c r="A176" s="133"/>
      <c r="B176" s="160" t="s">
        <v>118</v>
      </c>
      <c r="C176" s="23" t="s">
        <v>0</v>
      </c>
      <c r="E176" s="23" t="s">
        <v>0</v>
      </c>
      <c r="G176" s="23" t="s">
        <v>0</v>
      </c>
    </row>
    <row r="177" spans="1:7" x14ac:dyDescent="0.25">
      <c r="A177" s="133"/>
      <c r="C177" s="23"/>
      <c r="E177" s="23"/>
    </row>
    <row r="178" spans="1:7" x14ac:dyDescent="0.25">
      <c r="A178" s="133"/>
      <c r="B178" s="4" t="s">
        <v>83</v>
      </c>
      <c r="C178" s="23">
        <v>154500</v>
      </c>
      <c r="E178" s="23">
        <f>154500+6800-4700</f>
        <v>156600</v>
      </c>
      <c r="G178" s="103">
        <f>C178-E178</f>
        <v>-2100</v>
      </c>
    </row>
    <row r="179" spans="1:7" x14ac:dyDescent="0.25">
      <c r="A179" s="125"/>
      <c r="B179" s="4" t="s">
        <v>56</v>
      </c>
      <c r="C179" s="113">
        <v>1500</v>
      </c>
      <c r="D179" s="114"/>
      <c r="E179" s="113">
        <f>1500-100</f>
        <v>1400</v>
      </c>
      <c r="G179" s="103">
        <f>C179-E179</f>
        <v>100</v>
      </c>
    </row>
    <row r="180" spans="1:7" x14ac:dyDescent="0.25">
      <c r="A180" s="125"/>
      <c r="C180" s="112"/>
      <c r="D180" s="114"/>
      <c r="E180" s="112"/>
      <c r="G180" s="126"/>
    </row>
    <row r="181" spans="1:7" x14ac:dyDescent="0.25">
      <c r="A181" s="125"/>
      <c r="C181" s="113"/>
      <c r="D181" s="114"/>
      <c r="E181" s="113"/>
    </row>
    <row r="182" spans="1:7" x14ac:dyDescent="0.25">
      <c r="A182" s="125"/>
      <c r="B182" s="6" t="s">
        <v>67</v>
      </c>
      <c r="C182" s="113">
        <f>SUM(C177:C179)</f>
        <v>156000</v>
      </c>
      <c r="D182" s="114"/>
      <c r="E182" s="113">
        <f>SUM(E177:E179)</f>
        <v>158000</v>
      </c>
      <c r="G182" s="12">
        <f>C182-E182</f>
        <v>-2000</v>
      </c>
    </row>
    <row r="183" spans="1:7" x14ac:dyDescent="0.25">
      <c r="A183" s="125"/>
      <c r="C183" s="113"/>
      <c r="D183" s="114"/>
      <c r="E183" s="113"/>
    </row>
    <row r="184" spans="1:7" x14ac:dyDescent="0.25">
      <c r="A184" s="125"/>
      <c r="B184" s="9" t="s">
        <v>124</v>
      </c>
      <c r="C184" s="113">
        <v>5500</v>
      </c>
      <c r="D184" s="114"/>
      <c r="E184" s="113">
        <f>5500-5500</f>
        <v>0</v>
      </c>
      <c r="G184" s="12">
        <f>E184-C184</f>
        <v>-5500</v>
      </c>
    </row>
    <row r="185" spans="1:7" x14ac:dyDescent="0.25">
      <c r="A185" s="125"/>
      <c r="B185" s="9"/>
      <c r="C185" s="113"/>
      <c r="D185" s="114"/>
      <c r="E185" s="113"/>
    </row>
    <row r="186" spans="1:7" x14ac:dyDescent="0.25">
      <c r="C186" s="157"/>
      <c r="E186" s="157"/>
      <c r="G186" s="157"/>
    </row>
    <row r="187" spans="1:7" x14ac:dyDescent="0.25">
      <c r="A187" s="134"/>
      <c r="B187" s="11" t="s">
        <v>55</v>
      </c>
      <c r="C187" s="113">
        <f>C182-C184</f>
        <v>150500</v>
      </c>
      <c r="D187" s="114"/>
      <c r="E187" s="113">
        <f>E182-E184</f>
        <v>158000</v>
      </c>
      <c r="G187" s="113">
        <f>G182+G184</f>
        <v>-7500</v>
      </c>
    </row>
    <row r="188" spans="1:7" ht="18.75" thickBot="1" x14ac:dyDescent="0.3">
      <c r="A188" s="134"/>
      <c r="B188" s="13"/>
      <c r="C188" s="116"/>
      <c r="E188" s="116"/>
      <c r="G188" s="116"/>
    </row>
    <row r="189" spans="1:7" ht="17.25" customHeight="1" thickTop="1" x14ac:dyDescent="0.25">
      <c r="A189" s="134"/>
      <c r="B189" s="13"/>
      <c r="C189" s="102"/>
      <c r="E189" s="102"/>
    </row>
    <row r="190" spans="1:7" x14ac:dyDescent="0.25">
      <c r="C190" s="23"/>
      <c r="E190" s="23"/>
    </row>
    <row r="191" spans="1:7" ht="41.25" customHeight="1" x14ac:dyDescent="0.25">
      <c r="B191" s="224" t="s">
        <v>113</v>
      </c>
      <c r="C191" s="225"/>
      <c r="D191" s="225"/>
      <c r="E191" s="225"/>
      <c r="F191" s="225"/>
      <c r="G191" s="226"/>
    </row>
    <row r="192" spans="1:7" x14ac:dyDescent="0.25">
      <c r="C192" s="23"/>
      <c r="E192" s="23"/>
    </row>
    <row r="193" spans="1:7" x14ac:dyDescent="0.25">
      <c r="C193" s="104" t="s">
        <v>200</v>
      </c>
      <c r="E193" s="104" t="s">
        <v>212</v>
      </c>
      <c r="G193" s="104"/>
    </row>
    <row r="194" spans="1:7" x14ac:dyDescent="0.25">
      <c r="C194" s="105" t="s">
        <v>95</v>
      </c>
      <c r="E194" s="105" t="s">
        <v>40</v>
      </c>
      <c r="G194" s="105" t="s">
        <v>41</v>
      </c>
    </row>
    <row r="195" spans="1:7" x14ac:dyDescent="0.25">
      <c r="C195" s="106" t="s">
        <v>42</v>
      </c>
      <c r="E195" s="106" t="s">
        <v>42</v>
      </c>
      <c r="G195" s="106" t="s">
        <v>28</v>
      </c>
    </row>
    <row r="196" spans="1:7" x14ac:dyDescent="0.25">
      <c r="C196" s="23"/>
      <c r="E196" s="23"/>
    </row>
    <row r="197" spans="1:7" ht="20.25" x14ac:dyDescent="0.3">
      <c r="B197" s="118" t="s">
        <v>125</v>
      </c>
      <c r="C197" s="23" t="s">
        <v>0</v>
      </c>
      <c r="E197" s="23" t="s">
        <v>0</v>
      </c>
      <c r="G197" s="23" t="s">
        <v>0</v>
      </c>
    </row>
    <row r="198" spans="1:7" x14ac:dyDescent="0.25">
      <c r="A198" s="134"/>
      <c r="B198" s="13"/>
      <c r="C198" s="102"/>
      <c r="E198" s="102"/>
    </row>
    <row r="199" spans="1:7" x14ac:dyDescent="0.25">
      <c r="A199" s="134"/>
      <c r="B199" s="4" t="s">
        <v>83</v>
      </c>
      <c r="C199" s="113">
        <f>395200+20600</f>
        <v>415800</v>
      </c>
      <c r="E199" s="113">
        <f>415800-165800</f>
        <v>250000</v>
      </c>
      <c r="G199" s="103">
        <f>C199-E199</f>
        <v>165800</v>
      </c>
    </row>
    <row r="200" spans="1:7" x14ac:dyDescent="0.25">
      <c r="A200" s="134"/>
      <c r="B200" s="4" t="s">
        <v>177</v>
      </c>
      <c r="C200" s="113">
        <v>200000</v>
      </c>
      <c r="E200" s="113">
        <v>200000</v>
      </c>
      <c r="G200" s="103">
        <f>C200-E200</f>
        <v>0</v>
      </c>
    </row>
    <row r="201" spans="1:7" x14ac:dyDescent="0.25">
      <c r="A201" s="134"/>
      <c r="B201" s="13"/>
      <c r="C201" s="102" t="s">
        <v>1</v>
      </c>
      <c r="E201" s="102" t="s">
        <v>1</v>
      </c>
    </row>
    <row r="202" spans="1:7" x14ac:dyDescent="0.25">
      <c r="A202" s="134"/>
      <c r="B202" s="13"/>
      <c r="C202" s="157"/>
      <c r="E202" s="157"/>
      <c r="G202" s="157"/>
    </row>
    <row r="203" spans="1:7" x14ac:dyDescent="0.25">
      <c r="B203" s="11" t="s">
        <v>55</v>
      </c>
      <c r="C203" s="113">
        <f>SUM(C199:C200)</f>
        <v>615800</v>
      </c>
      <c r="E203" s="113">
        <f>SUM(E198:E200)</f>
        <v>450000</v>
      </c>
      <c r="G203" s="113">
        <f>SUM(G198:G200)</f>
        <v>165800</v>
      </c>
    </row>
    <row r="204" spans="1:7" ht="18.75" thickBot="1" x14ac:dyDescent="0.3">
      <c r="C204" s="116"/>
      <c r="E204" s="116"/>
      <c r="G204" s="116"/>
    </row>
    <row r="205" spans="1:7" ht="18.75" thickTop="1" x14ac:dyDescent="0.25">
      <c r="A205" s="8"/>
      <c r="C205" s="113"/>
      <c r="E205" s="113"/>
    </row>
    <row r="206" spans="1:7" x14ac:dyDescent="0.25">
      <c r="A206" s="8"/>
      <c r="C206" s="113"/>
      <c r="E206" s="113"/>
    </row>
    <row r="208" spans="1:7" ht="42" customHeight="1" x14ac:dyDescent="0.25">
      <c r="B208" s="224" t="s">
        <v>113</v>
      </c>
      <c r="C208" s="225"/>
      <c r="D208" s="225"/>
      <c r="E208" s="225"/>
      <c r="F208" s="225"/>
      <c r="G208" s="226"/>
    </row>
    <row r="209" spans="1:7" x14ac:dyDescent="0.25">
      <c r="C209" s="23"/>
      <c r="E209" s="23"/>
    </row>
    <row r="210" spans="1:7" x14ac:dyDescent="0.25">
      <c r="C210" s="23"/>
      <c r="E210" s="23"/>
    </row>
    <row r="211" spans="1:7" x14ac:dyDescent="0.25">
      <c r="A211" s="5"/>
      <c r="B211" s="166"/>
      <c r="C211" s="104" t="s">
        <v>200</v>
      </c>
      <c r="E211" s="104" t="s">
        <v>212</v>
      </c>
      <c r="G211" s="104"/>
    </row>
    <row r="212" spans="1:7" x14ac:dyDescent="0.25">
      <c r="C212" s="105" t="s">
        <v>95</v>
      </c>
      <c r="E212" s="105" t="s">
        <v>40</v>
      </c>
      <c r="G212" s="105" t="s">
        <v>41</v>
      </c>
    </row>
    <row r="213" spans="1:7" x14ac:dyDescent="0.25">
      <c r="C213" s="106" t="s">
        <v>42</v>
      </c>
      <c r="E213" s="106" t="s">
        <v>42</v>
      </c>
      <c r="G213" s="106" t="s">
        <v>28</v>
      </c>
    </row>
    <row r="214" spans="1:7" x14ac:dyDescent="0.25">
      <c r="C214" s="23"/>
      <c r="E214" s="23"/>
    </row>
    <row r="215" spans="1:7" s="1" customFormat="1" ht="20.25" x14ac:dyDescent="0.3">
      <c r="A215" s="4"/>
      <c r="B215" s="150" t="s">
        <v>120</v>
      </c>
      <c r="C215" s="23" t="s">
        <v>0</v>
      </c>
      <c r="D215" s="103"/>
      <c r="E215" s="23" t="s">
        <v>0</v>
      </c>
      <c r="F215" s="114"/>
      <c r="G215" s="23" t="s">
        <v>0</v>
      </c>
    </row>
    <row r="216" spans="1:7" s="1" customFormat="1" x14ac:dyDescent="0.25">
      <c r="A216" s="4"/>
      <c r="B216" s="4"/>
      <c r="C216" s="23"/>
      <c r="D216" s="103"/>
      <c r="E216" s="23"/>
      <c r="F216" s="114"/>
      <c r="G216" s="103"/>
    </row>
    <row r="217" spans="1:7" x14ac:dyDescent="0.25">
      <c r="B217" s="4" t="s">
        <v>6</v>
      </c>
      <c r="C217" s="23">
        <v>1110300</v>
      </c>
      <c r="E217" s="23">
        <f>1110300+4600-81500+9100+45700-68200+41000</f>
        <v>1061000</v>
      </c>
      <c r="G217" s="4">
        <f t="shared" ref="G217:G222" si="4">C217-E217</f>
        <v>49300</v>
      </c>
    </row>
    <row r="218" spans="1:7" x14ac:dyDescent="0.25">
      <c r="B218" s="4" t="s">
        <v>82</v>
      </c>
      <c r="C218" s="23">
        <v>2300</v>
      </c>
      <c r="E218" s="23">
        <v>2300</v>
      </c>
      <c r="G218" s="4">
        <f t="shared" si="4"/>
        <v>0</v>
      </c>
    </row>
    <row r="219" spans="1:7" x14ac:dyDescent="0.25">
      <c r="B219" s="4" t="s">
        <v>56</v>
      </c>
      <c r="C219" s="113">
        <v>26800</v>
      </c>
      <c r="E219" s="113">
        <f>26800-400-6600</f>
        <v>19800</v>
      </c>
      <c r="G219" s="4">
        <f t="shared" si="4"/>
        <v>7000</v>
      </c>
    </row>
    <row r="220" spans="1:7" x14ac:dyDescent="0.25">
      <c r="B220" s="4" t="s">
        <v>57</v>
      </c>
      <c r="C220" s="113">
        <v>21400</v>
      </c>
      <c r="E220" s="113">
        <f>21400-100</f>
        <v>21300</v>
      </c>
      <c r="G220" s="4">
        <f t="shared" si="4"/>
        <v>100</v>
      </c>
    </row>
    <row r="221" spans="1:7" x14ac:dyDescent="0.25">
      <c r="B221" s="4" t="s">
        <v>178</v>
      </c>
      <c r="C221" s="113">
        <v>100000</v>
      </c>
      <c r="E221" s="113">
        <f>100000+10000</f>
        <v>110000</v>
      </c>
      <c r="G221" s="4">
        <f t="shared" si="4"/>
        <v>-10000</v>
      </c>
    </row>
    <row r="222" spans="1:7" x14ac:dyDescent="0.25">
      <c r="B222" s="7" t="s">
        <v>182</v>
      </c>
      <c r="C222" s="113">
        <v>0</v>
      </c>
      <c r="E222" s="113">
        <v>0</v>
      </c>
      <c r="G222" s="10">
        <f t="shared" si="4"/>
        <v>0</v>
      </c>
    </row>
    <row r="223" spans="1:7" x14ac:dyDescent="0.25">
      <c r="C223" s="109"/>
      <c r="E223" s="109"/>
      <c r="G223" s="4"/>
    </row>
    <row r="224" spans="1:7" x14ac:dyDescent="0.25">
      <c r="A224" s="6"/>
      <c r="B224" s="6" t="s">
        <v>67</v>
      </c>
      <c r="C224" s="23">
        <f>SUM(C217:C222)</f>
        <v>1260800</v>
      </c>
      <c r="D224" s="12"/>
      <c r="E224" s="23">
        <f>SUM(E217:E222)</f>
        <v>1214400</v>
      </c>
      <c r="G224" s="6">
        <f>SUM(G217:G223)</f>
        <v>46400</v>
      </c>
    </row>
    <row r="225" spans="1:7" x14ac:dyDescent="0.25">
      <c r="C225" s="23"/>
      <c r="E225" s="23"/>
      <c r="G225" s="4"/>
    </row>
    <row r="226" spans="1:7" x14ac:dyDescent="0.25">
      <c r="B226" s="9" t="s">
        <v>126</v>
      </c>
      <c r="C226" s="23">
        <v>5000</v>
      </c>
      <c r="E226" s="23">
        <f>5000-3000</f>
        <v>2000</v>
      </c>
      <c r="G226" s="6">
        <f>E226-C226</f>
        <v>-3000</v>
      </c>
    </row>
    <row r="227" spans="1:7" x14ac:dyDescent="0.25">
      <c r="B227" s="9"/>
      <c r="C227" s="23"/>
      <c r="E227" s="23"/>
      <c r="G227" s="4"/>
    </row>
    <row r="228" spans="1:7" x14ac:dyDescent="0.25">
      <c r="C228" s="23"/>
      <c r="E228" s="109"/>
      <c r="G228" s="109"/>
    </row>
    <row r="229" spans="1:7" x14ac:dyDescent="0.25">
      <c r="A229" s="6"/>
      <c r="B229" s="11" t="s">
        <v>55</v>
      </c>
      <c r="C229" s="23">
        <f>+C224-C226-C227</f>
        <v>1255800</v>
      </c>
      <c r="D229" s="23"/>
      <c r="E229" s="23">
        <f>+E224-E226-E227</f>
        <v>1212400</v>
      </c>
      <c r="G229" s="23">
        <f>+G224+G226</f>
        <v>43400</v>
      </c>
    </row>
    <row r="230" spans="1:7" ht="18.75" thickBot="1" x14ac:dyDescent="0.3">
      <c r="C230" s="110"/>
      <c r="E230" s="110"/>
      <c r="G230" s="110"/>
    </row>
    <row r="231" spans="1:7" ht="18.75" thickTop="1" x14ac:dyDescent="0.25"/>
    <row r="234" spans="1:7" x14ac:dyDescent="0.25">
      <c r="D234" s="24"/>
    </row>
    <row r="235" spans="1:7" ht="39.75" customHeight="1" x14ac:dyDescent="0.25">
      <c r="B235" s="224" t="s">
        <v>100</v>
      </c>
      <c r="C235" s="225"/>
      <c r="D235" s="225"/>
      <c r="E235" s="225"/>
      <c r="F235" s="225"/>
      <c r="G235" s="226"/>
    </row>
    <row r="236" spans="1:7" x14ac:dyDescent="0.25">
      <c r="G236" s="24"/>
    </row>
    <row r="237" spans="1:7" x14ac:dyDescent="0.25">
      <c r="G237" s="24"/>
    </row>
    <row r="238" spans="1:7" x14ac:dyDescent="0.25">
      <c r="B238" s="5"/>
      <c r="C238" s="104" t="s">
        <v>200</v>
      </c>
      <c r="E238" s="104" t="s">
        <v>212</v>
      </c>
      <c r="G238" s="104"/>
    </row>
    <row r="239" spans="1:7" x14ac:dyDescent="0.25">
      <c r="B239" s="11"/>
      <c r="C239" s="105" t="s">
        <v>95</v>
      </c>
      <c r="E239" s="105" t="s">
        <v>40</v>
      </c>
      <c r="G239" s="105" t="s">
        <v>41</v>
      </c>
    </row>
    <row r="240" spans="1:7" x14ac:dyDescent="0.25">
      <c r="B240" s="2"/>
      <c r="C240" s="106" t="s">
        <v>42</v>
      </c>
      <c r="E240" s="106" t="s">
        <v>42</v>
      </c>
      <c r="G240" s="106" t="s">
        <v>28</v>
      </c>
    </row>
    <row r="241" spans="2:7" x14ac:dyDescent="0.25">
      <c r="C241" s="23"/>
      <c r="E241" s="23"/>
      <c r="G241" s="23"/>
    </row>
    <row r="242" spans="2:7" ht="20.25" x14ac:dyDescent="0.3">
      <c r="B242" s="117" t="s">
        <v>101</v>
      </c>
      <c r="C242" s="23" t="s">
        <v>0</v>
      </c>
      <c r="E242" s="23" t="s">
        <v>0</v>
      </c>
      <c r="G242" s="23" t="s">
        <v>0</v>
      </c>
    </row>
    <row r="243" spans="2:7" x14ac:dyDescent="0.25">
      <c r="C243" s="23"/>
      <c r="E243" s="23"/>
      <c r="G243" s="23"/>
    </row>
    <row r="244" spans="2:7" x14ac:dyDescent="0.25">
      <c r="B244" s="4" t="s">
        <v>104</v>
      </c>
      <c r="C244" s="23">
        <v>4000</v>
      </c>
      <c r="E244" s="23">
        <f>4000-2000</f>
        <v>2000</v>
      </c>
      <c r="G244" s="24">
        <f>C244-E244</f>
        <v>2000</v>
      </c>
    </row>
    <row r="245" spans="2:7" x14ac:dyDescent="0.25">
      <c r="B245" s="4" t="s">
        <v>105</v>
      </c>
      <c r="C245" s="23">
        <v>1100</v>
      </c>
      <c r="E245" s="23">
        <v>500</v>
      </c>
      <c r="G245" s="24">
        <f t="shared" ref="G245:G251" si="5">C245-E245</f>
        <v>600</v>
      </c>
    </row>
    <row r="246" spans="2:7" x14ac:dyDescent="0.25">
      <c r="B246" s="4" t="s">
        <v>106</v>
      </c>
      <c r="C246" s="23">
        <v>1800</v>
      </c>
      <c r="E246" s="23">
        <v>0</v>
      </c>
      <c r="G246" s="24">
        <f t="shared" si="5"/>
        <v>1800</v>
      </c>
    </row>
    <row r="247" spans="2:7" x14ac:dyDescent="0.25">
      <c r="B247" s="4" t="s">
        <v>107</v>
      </c>
      <c r="C247" s="23">
        <v>20500</v>
      </c>
      <c r="E247" s="23">
        <v>22000</v>
      </c>
      <c r="G247" s="24">
        <f t="shared" si="5"/>
        <v>-1500</v>
      </c>
    </row>
    <row r="248" spans="2:7" x14ac:dyDescent="0.25">
      <c r="B248" s="4" t="s">
        <v>108</v>
      </c>
      <c r="C248" s="23">
        <v>1600</v>
      </c>
      <c r="E248" s="23">
        <v>0</v>
      </c>
      <c r="G248" s="24">
        <f t="shared" si="5"/>
        <v>1600</v>
      </c>
    </row>
    <row r="249" spans="2:7" x14ac:dyDescent="0.25">
      <c r="B249" s="4" t="s">
        <v>109</v>
      </c>
      <c r="C249" s="23">
        <v>3400</v>
      </c>
      <c r="E249" s="23">
        <v>1000</v>
      </c>
      <c r="G249" s="24">
        <f t="shared" si="5"/>
        <v>2400</v>
      </c>
    </row>
    <row r="250" spans="2:7" x14ac:dyDescent="0.25">
      <c r="B250" s="4" t="s">
        <v>110</v>
      </c>
      <c r="C250" s="23">
        <v>2700</v>
      </c>
      <c r="E250" s="23">
        <v>2500</v>
      </c>
      <c r="G250" s="24">
        <f>C250-E250</f>
        <v>200</v>
      </c>
    </row>
    <row r="251" spans="2:7" x14ac:dyDescent="0.25">
      <c r="B251" s="7" t="s">
        <v>111</v>
      </c>
      <c r="C251" s="23">
        <v>0</v>
      </c>
      <c r="E251" s="23">
        <v>0</v>
      </c>
      <c r="G251" s="24">
        <f t="shared" si="5"/>
        <v>0</v>
      </c>
    </row>
    <row r="252" spans="2:7" x14ac:dyDescent="0.25">
      <c r="B252" s="7"/>
      <c r="C252" s="23"/>
      <c r="E252" s="23"/>
      <c r="G252" s="23"/>
    </row>
    <row r="253" spans="2:7" x14ac:dyDescent="0.25">
      <c r="B253" s="9"/>
      <c r="C253" s="109"/>
      <c r="E253" s="109"/>
      <c r="G253" s="109"/>
    </row>
    <row r="254" spans="2:7" x14ac:dyDescent="0.25">
      <c r="B254" s="6" t="s">
        <v>67</v>
      </c>
      <c r="C254" s="23">
        <f>SUM(C244:C252)</f>
        <v>35100</v>
      </c>
      <c r="E254" s="23">
        <f>SUM(E244:E252)</f>
        <v>28000</v>
      </c>
      <c r="G254" s="23">
        <f>SUM(G244:G252)</f>
        <v>7100</v>
      </c>
    </row>
    <row r="255" spans="2:7" x14ac:dyDescent="0.25">
      <c r="C255" s="23"/>
      <c r="E255" s="23"/>
      <c r="G255" s="23"/>
    </row>
    <row r="256" spans="2:7" x14ac:dyDescent="0.25">
      <c r="B256" s="11"/>
      <c r="C256" s="23"/>
      <c r="E256" s="23"/>
      <c r="G256" s="23"/>
    </row>
    <row r="257" spans="2:7" x14ac:dyDescent="0.25">
      <c r="B257" s="4" t="s">
        <v>112</v>
      </c>
      <c r="C257" s="23">
        <v>0</v>
      </c>
      <c r="E257" s="23">
        <v>0</v>
      </c>
      <c r="G257" s="23">
        <f>C257-E257</f>
        <v>0</v>
      </c>
    </row>
    <row r="258" spans="2:7" x14ac:dyDescent="0.25">
      <c r="C258" s="113"/>
      <c r="E258" s="113"/>
      <c r="G258" s="113"/>
    </row>
    <row r="259" spans="2:7" x14ac:dyDescent="0.25">
      <c r="C259" s="157"/>
      <c r="E259" s="157"/>
      <c r="G259" s="157"/>
    </row>
    <row r="260" spans="2:7" x14ac:dyDescent="0.25">
      <c r="B260" s="11" t="s">
        <v>55</v>
      </c>
      <c r="C260" s="23">
        <f>+C254-C257</f>
        <v>35100</v>
      </c>
      <c r="E260" s="23">
        <f>+E254-E257</f>
        <v>28000</v>
      </c>
      <c r="G260" s="23">
        <f>+G254-G257</f>
        <v>7100</v>
      </c>
    </row>
    <row r="261" spans="2:7" ht="18.75" thickBot="1" x14ac:dyDescent="0.3">
      <c r="B261" s="6"/>
      <c r="C261" s="116"/>
      <c r="E261" s="116"/>
      <c r="G261" s="116"/>
    </row>
    <row r="262" spans="2:7" ht="18.75" thickTop="1" x14ac:dyDescent="0.25">
      <c r="G262" s="24"/>
    </row>
    <row r="263" spans="2:7" x14ac:dyDescent="0.25">
      <c r="G263" s="24"/>
    </row>
    <row r="264" spans="2:7" x14ac:dyDescent="0.25">
      <c r="G264" s="24"/>
    </row>
    <row r="265" spans="2:7" ht="39.75" customHeight="1" x14ac:dyDescent="0.25">
      <c r="B265" s="224" t="s">
        <v>100</v>
      </c>
      <c r="C265" s="225"/>
      <c r="D265" s="225"/>
      <c r="E265" s="225"/>
      <c r="F265" s="225"/>
      <c r="G265" s="226"/>
    </row>
    <row r="266" spans="2:7" ht="27" x14ac:dyDescent="0.35">
      <c r="B266" s="164"/>
      <c r="C266" s="102"/>
      <c r="D266" s="114"/>
      <c r="E266" s="102"/>
      <c r="G266" s="102"/>
    </row>
    <row r="267" spans="2:7" x14ac:dyDescent="0.25">
      <c r="B267" s="5"/>
      <c r="C267" s="104" t="s">
        <v>200</v>
      </c>
      <c r="E267" s="104" t="s">
        <v>212</v>
      </c>
      <c r="G267" s="104"/>
    </row>
    <row r="268" spans="2:7" x14ac:dyDescent="0.25">
      <c r="C268" s="105" t="s">
        <v>95</v>
      </c>
      <c r="E268" s="105" t="s">
        <v>40</v>
      </c>
      <c r="G268" s="105" t="s">
        <v>41</v>
      </c>
    </row>
    <row r="269" spans="2:7" x14ac:dyDescent="0.25">
      <c r="C269" s="106" t="s">
        <v>42</v>
      </c>
      <c r="E269" s="106" t="s">
        <v>42</v>
      </c>
      <c r="G269" s="106" t="s">
        <v>28</v>
      </c>
    </row>
    <row r="270" spans="2:7" x14ac:dyDescent="0.25">
      <c r="C270" s="23"/>
      <c r="E270" s="23"/>
      <c r="G270" s="23"/>
    </row>
    <row r="271" spans="2:7" ht="20.25" x14ac:dyDescent="0.3">
      <c r="B271" s="117" t="s">
        <v>102</v>
      </c>
      <c r="C271" s="23" t="s">
        <v>0</v>
      </c>
      <c r="E271" s="23" t="s">
        <v>0</v>
      </c>
      <c r="G271" s="23" t="s">
        <v>0</v>
      </c>
    </row>
    <row r="272" spans="2:7" x14ac:dyDescent="0.25">
      <c r="B272" s="6"/>
      <c r="C272" s="102"/>
      <c r="E272" s="102"/>
      <c r="G272" s="102"/>
    </row>
    <row r="273" spans="2:8" x14ac:dyDescent="0.25">
      <c r="B273" s="4" t="s">
        <v>57</v>
      </c>
      <c r="C273" s="23">
        <v>133000</v>
      </c>
      <c r="E273" s="23">
        <f>133000-100000</f>
        <v>33000</v>
      </c>
      <c r="G273" s="24">
        <f>C273-E273</f>
        <v>100000</v>
      </c>
      <c r="H273" s="19"/>
    </row>
    <row r="274" spans="2:8" x14ac:dyDescent="0.25">
      <c r="C274" s="112"/>
      <c r="E274" s="112"/>
      <c r="G274" s="128"/>
      <c r="H274" s="19"/>
    </row>
    <row r="275" spans="2:8" x14ac:dyDescent="0.25">
      <c r="C275" s="23"/>
      <c r="E275" s="23"/>
      <c r="G275" s="24"/>
      <c r="H275" s="19"/>
    </row>
    <row r="276" spans="2:8" x14ac:dyDescent="0.25">
      <c r="B276" s="6" t="s">
        <v>67</v>
      </c>
      <c r="C276" s="23">
        <f>SUM(C273:C274)</f>
        <v>133000</v>
      </c>
      <c r="E276" s="23">
        <f>SUM(E273:E274)</f>
        <v>33000</v>
      </c>
      <c r="G276" s="23">
        <f>C276-E276</f>
        <v>100000</v>
      </c>
      <c r="H276" s="19"/>
    </row>
    <row r="277" spans="2:8" x14ac:dyDescent="0.25">
      <c r="B277" s="11"/>
      <c r="C277" s="113"/>
      <c r="D277" s="12"/>
      <c r="E277" s="113"/>
      <c r="G277" s="113"/>
      <c r="H277" s="19"/>
    </row>
    <row r="278" spans="2:8" x14ac:dyDescent="0.25">
      <c r="B278" s="9" t="s">
        <v>26</v>
      </c>
      <c r="C278" s="113">
        <v>250000</v>
      </c>
      <c r="D278" s="12"/>
      <c r="E278" s="113">
        <f>250000-235000</f>
        <v>15000</v>
      </c>
      <c r="G278" s="113">
        <f>E278-C278</f>
        <v>-235000</v>
      </c>
      <c r="H278" s="19"/>
    </row>
    <row r="279" spans="2:8" x14ac:dyDescent="0.25">
      <c r="B279" s="9" t="s">
        <v>166</v>
      </c>
      <c r="C279" s="113">
        <v>500</v>
      </c>
      <c r="D279" s="12"/>
      <c r="E279" s="113">
        <v>500</v>
      </c>
      <c r="G279" s="113">
        <f>E279-C279</f>
        <v>0</v>
      </c>
      <c r="H279" s="19"/>
    </row>
    <row r="280" spans="2:8" x14ac:dyDescent="0.25">
      <c r="B280" s="9"/>
      <c r="C280" s="113"/>
      <c r="D280" s="12"/>
      <c r="E280" s="113"/>
      <c r="G280" s="113"/>
      <c r="H280" s="19"/>
    </row>
    <row r="281" spans="2:8" x14ac:dyDescent="0.25">
      <c r="B281" s="11"/>
      <c r="C281" s="109"/>
      <c r="D281" s="12"/>
      <c r="E281" s="109"/>
      <c r="G281" s="109"/>
      <c r="H281" s="19"/>
    </row>
    <row r="282" spans="2:8" x14ac:dyDescent="0.25">
      <c r="B282" s="11" t="s">
        <v>55</v>
      </c>
      <c r="C282" s="113">
        <f>C276-C278-C279</f>
        <v>-117500</v>
      </c>
      <c r="D282" s="12"/>
      <c r="E282" s="113">
        <f>E276-E278-E279</f>
        <v>17500</v>
      </c>
      <c r="G282" s="113">
        <f>E282-C282</f>
        <v>135000</v>
      </c>
      <c r="H282" s="19"/>
    </row>
    <row r="283" spans="2:8" ht="18.75" thickBot="1" x14ac:dyDescent="0.3">
      <c r="B283" s="13"/>
      <c r="C283" s="116"/>
      <c r="E283" s="116"/>
      <c r="G283" s="116"/>
      <c r="H283" s="19"/>
    </row>
    <row r="284" spans="2:8" ht="18.75" thickTop="1" x14ac:dyDescent="0.25">
      <c r="G284" s="24"/>
    </row>
    <row r="285" spans="2:8" x14ac:dyDescent="0.25">
      <c r="G285" s="24"/>
    </row>
    <row r="286" spans="2:8" x14ac:dyDescent="0.25">
      <c r="G286" s="24"/>
    </row>
    <row r="287" spans="2:8" ht="41.25" customHeight="1" x14ac:dyDescent="0.25">
      <c r="B287" s="224" t="s">
        <v>100</v>
      </c>
      <c r="C287" s="225"/>
      <c r="D287" s="225"/>
      <c r="E287" s="225"/>
      <c r="F287" s="225"/>
      <c r="G287" s="226"/>
    </row>
    <row r="288" spans="2:8" x14ac:dyDescent="0.25">
      <c r="G288" s="24"/>
    </row>
    <row r="289" spans="2:7" x14ac:dyDescent="0.25">
      <c r="G289" s="24"/>
    </row>
    <row r="290" spans="2:7" x14ac:dyDescent="0.25">
      <c r="B290" s="5"/>
      <c r="C290" s="104" t="s">
        <v>200</v>
      </c>
      <c r="E290" s="104" t="s">
        <v>212</v>
      </c>
      <c r="G290" s="104"/>
    </row>
    <row r="291" spans="2:7" x14ac:dyDescent="0.25">
      <c r="B291" s="3"/>
      <c r="C291" s="105" t="s">
        <v>95</v>
      </c>
      <c r="E291" s="105" t="s">
        <v>40</v>
      </c>
      <c r="G291" s="105" t="s">
        <v>41</v>
      </c>
    </row>
    <row r="292" spans="2:7" x14ac:dyDescent="0.25">
      <c r="C292" s="106" t="s">
        <v>42</v>
      </c>
      <c r="E292" s="106" t="s">
        <v>42</v>
      </c>
      <c r="G292" s="106" t="s">
        <v>28</v>
      </c>
    </row>
    <row r="293" spans="2:7" x14ac:dyDescent="0.25">
      <c r="C293" s="23"/>
      <c r="E293" s="23"/>
      <c r="G293" s="23"/>
    </row>
    <row r="294" spans="2:7" ht="20.25" x14ac:dyDescent="0.3">
      <c r="B294" s="117" t="s">
        <v>103</v>
      </c>
      <c r="C294" s="23" t="s">
        <v>0</v>
      </c>
      <c r="E294" s="23" t="s">
        <v>0</v>
      </c>
      <c r="G294" s="23" t="s">
        <v>0</v>
      </c>
    </row>
    <row r="295" spans="2:7" x14ac:dyDescent="0.25">
      <c r="B295" s="6"/>
      <c r="C295" s="102"/>
      <c r="E295" s="102"/>
      <c r="G295" s="102"/>
    </row>
    <row r="296" spans="2:7" x14ac:dyDescent="0.25">
      <c r="B296" s="4" t="s">
        <v>6</v>
      </c>
      <c r="C296" s="23">
        <v>0</v>
      </c>
      <c r="E296" s="23">
        <v>0</v>
      </c>
      <c r="G296" s="23">
        <f t="shared" ref="G296:G301" si="6">C296-E296</f>
        <v>0</v>
      </c>
    </row>
    <row r="297" spans="2:7" x14ac:dyDescent="0.25">
      <c r="B297" s="4" t="s">
        <v>83</v>
      </c>
      <c r="C297" s="23">
        <v>0</v>
      </c>
      <c r="E297" s="23">
        <f>25200+13000-38200</f>
        <v>0</v>
      </c>
      <c r="G297" s="23">
        <f t="shared" si="6"/>
        <v>0</v>
      </c>
    </row>
    <row r="298" spans="2:7" x14ac:dyDescent="0.25">
      <c r="B298" s="4" t="s">
        <v>25</v>
      </c>
      <c r="C298" s="23">
        <v>34100</v>
      </c>
      <c r="E298" s="23">
        <f>34100+3700</f>
        <v>37800</v>
      </c>
      <c r="G298" s="23">
        <f t="shared" si="6"/>
        <v>-3700</v>
      </c>
    </row>
    <row r="299" spans="2:7" x14ac:dyDescent="0.25">
      <c r="B299" s="4" t="s">
        <v>56</v>
      </c>
      <c r="C299" s="23">
        <v>20200</v>
      </c>
      <c r="E299" s="23">
        <f>20200-1900-5800</f>
        <v>12500</v>
      </c>
      <c r="G299" s="23">
        <f t="shared" si="6"/>
        <v>7700</v>
      </c>
    </row>
    <row r="300" spans="2:7" x14ac:dyDescent="0.25">
      <c r="B300" s="4" t="s">
        <v>70</v>
      </c>
      <c r="C300" s="23">
        <v>0</v>
      </c>
      <c r="E300" s="23">
        <v>0</v>
      </c>
      <c r="G300" s="23">
        <f t="shared" si="6"/>
        <v>0</v>
      </c>
    </row>
    <row r="301" spans="2:7" x14ac:dyDescent="0.25">
      <c r="B301" s="7" t="s">
        <v>182</v>
      </c>
      <c r="C301" s="112">
        <v>0</v>
      </c>
      <c r="E301" s="112">
        <v>0</v>
      </c>
      <c r="G301" s="112">
        <f t="shared" si="6"/>
        <v>0</v>
      </c>
    </row>
    <row r="302" spans="2:7" x14ac:dyDescent="0.25">
      <c r="C302" s="113"/>
      <c r="E302" s="113"/>
      <c r="G302" s="113"/>
    </row>
    <row r="303" spans="2:7" x14ac:dyDescent="0.25">
      <c r="B303" s="11" t="s">
        <v>55</v>
      </c>
      <c r="C303" s="23">
        <f>SUM(C296:C301)</f>
        <v>54300</v>
      </c>
      <c r="D303" s="23"/>
      <c r="E303" s="23">
        <f>SUM(E296:E301)</f>
        <v>50300</v>
      </c>
      <c r="G303" s="23">
        <f>SUM(G296:G301)</f>
        <v>4000</v>
      </c>
    </row>
    <row r="304" spans="2:7" ht="18.75" thickBot="1" x14ac:dyDescent="0.3">
      <c r="B304" s="13"/>
      <c r="C304" s="116"/>
      <c r="E304" s="116"/>
      <c r="G304" s="116"/>
    </row>
    <row r="305" spans="2:7" ht="18.75" thickTop="1" x14ac:dyDescent="0.25">
      <c r="G305" s="24"/>
    </row>
    <row r="306" spans="2:7" x14ac:dyDescent="0.25">
      <c r="G306" s="24"/>
    </row>
    <row r="307" spans="2:7" x14ac:dyDescent="0.25">
      <c r="G307" s="24"/>
    </row>
    <row r="309" spans="2:7" ht="27.75" x14ac:dyDescent="0.25">
      <c r="B309" s="224" t="s">
        <v>113</v>
      </c>
      <c r="C309" s="225"/>
      <c r="D309" s="225"/>
      <c r="E309" s="225"/>
      <c r="F309" s="225"/>
      <c r="G309" s="226"/>
    </row>
    <row r="310" spans="2:7" x14ac:dyDescent="0.25">
      <c r="B310" s="19"/>
      <c r="D310" s="102"/>
      <c r="F310" s="24"/>
      <c r="G310" s="24"/>
    </row>
    <row r="311" spans="2:7" x14ac:dyDescent="0.25">
      <c r="B311" s="19"/>
      <c r="C311" s="104" t="s">
        <v>200</v>
      </c>
      <c r="E311" s="104" t="s">
        <v>212</v>
      </c>
      <c r="F311" s="24"/>
      <c r="G311" s="104"/>
    </row>
    <row r="312" spans="2:7" x14ac:dyDescent="0.25">
      <c r="B312" s="19"/>
      <c r="C312" s="105" t="s">
        <v>95</v>
      </c>
      <c r="E312" s="105" t="s">
        <v>40</v>
      </c>
      <c r="F312" s="24"/>
      <c r="G312" s="105" t="s">
        <v>41</v>
      </c>
    </row>
    <row r="313" spans="2:7" x14ac:dyDescent="0.25">
      <c r="B313" s="19"/>
      <c r="C313" s="106" t="s">
        <v>42</v>
      </c>
      <c r="E313" s="106" t="s">
        <v>42</v>
      </c>
      <c r="F313" s="24"/>
      <c r="G313" s="106" t="s">
        <v>28</v>
      </c>
    </row>
    <row r="314" spans="2:7" x14ac:dyDescent="0.25">
      <c r="B314" s="19"/>
      <c r="D314" s="24"/>
      <c r="F314" s="24"/>
      <c r="G314" s="24"/>
    </row>
    <row r="315" spans="2:7" ht="20.25" x14ac:dyDescent="0.3">
      <c r="B315" s="199" t="s">
        <v>160</v>
      </c>
      <c r="C315" s="23" t="s">
        <v>0</v>
      </c>
      <c r="D315" s="24"/>
      <c r="E315" s="23" t="s">
        <v>0</v>
      </c>
      <c r="F315" s="23"/>
      <c r="G315" s="23" t="s">
        <v>0</v>
      </c>
    </row>
    <row r="316" spans="2:7" x14ac:dyDescent="0.25">
      <c r="B316" s="152"/>
      <c r="C316" s="23"/>
      <c r="D316" s="24"/>
      <c r="E316" s="23"/>
      <c r="F316" s="23"/>
      <c r="G316" s="23"/>
    </row>
    <row r="317" spans="2:7" x14ac:dyDescent="0.25">
      <c r="B317" s="4" t="s">
        <v>57</v>
      </c>
      <c r="C317" s="23">
        <v>30500</v>
      </c>
      <c r="D317" s="24"/>
      <c r="E317" s="23">
        <v>30500</v>
      </c>
      <c r="F317" s="23"/>
      <c r="G317" s="24">
        <f>C317-E317</f>
        <v>0</v>
      </c>
    </row>
    <row r="318" spans="2:7" x14ac:dyDescent="0.25">
      <c r="B318" s="4" t="s">
        <v>56</v>
      </c>
      <c r="C318" s="23">
        <v>1500</v>
      </c>
      <c r="D318" s="24"/>
      <c r="E318" s="23">
        <v>1500</v>
      </c>
      <c r="F318" s="24"/>
      <c r="G318" s="24">
        <f>C318-E318</f>
        <v>0</v>
      </c>
    </row>
    <row r="319" spans="2:7" x14ac:dyDescent="0.25">
      <c r="B319" s="19"/>
      <c r="C319" s="112"/>
      <c r="D319" s="24"/>
      <c r="E319" s="112"/>
      <c r="F319" s="24"/>
      <c r="G319" s="128"/>
    </row>
    <row r="320" spans="2:7" x14ac:dyDescent="0.25">
      <c r="B320" s="19"/>
      <c r="C320" s="113"/>
      <c r="D320" s="24"/>
      <c r="E320" s="113"/>
      <c r="F320" s="24"/>
      <c r="G320" s="113"/>
    </row>
    <row r="321" spans="2:7" x14ac:dyDescent="0.25">
      <c r="B321" s="11" t="s">
        <v>55</v>
      </c>
      <c r="C321" s="113">
        <f>SUM(C317:C318)</f>
        <v>32000</v>
      </c>
      <c r="D321" s="24"/>
      <c r="E321" s="113">
        <f>SUM(E317:E318)</f>
        <v>32000</v>
      </c>
      <c r="F321" s="24"/>
      <c r="G321" s="113">
        <f>SUM(G317:G318)</f>
        <v>0</v>
      </c>
    </row>
    <row r="322" spans="2:7" ht="18.75" thickBot="1" x14ac:dyDescent="0.3">
      <c r="B322" s="19"/>
      <c r="C322" s="110"/>
      <c r="D322" s="23"/>
      <c r="E322" s="110"/>
      <c r="F322" s="24"/>
      <c r="G322" s="110"/>
    </row>
    <row r="323" spans="2:7" ht="18.75" thickTop="1" x14ac:dyDescent="0.25"/>
  </sheetData>
  <mergeCells count="13">
    <mergeCell ref="B309:G309"/>
    <mergeCell ref="B235:G235"/>
    <mergeCell ref="B265:G265"/>
    <mergeCell ref="B287:G287"/>
    <mergeCell ref="B169:G169"/>
    <mergeCell ref="B191:G191"/>
    <mergeCell ref="B208:G208"/>
    <mergeCell ref="B147:G147"/>
    <mergeCell ref="B2:G2"/>
    <mergeCell ref="B41:G41"/>
    <mergeCell ref="B66:G66"/>
    <mergeCell ref="B83:G83"/>
    <mergeCell ref="B110:G110"/>
  </mergeCells>
  <pageMargins left="0.6692913385826772" right="0.27559055118110237" top="0.62992125984251968" bottom="1.1811023622047245" header="1.3779527559055118" footer="0.59055118110236227"/>
  <pageSetup paperSize="9" scale="52" firstPageNumber="23" orientation="portrait" useFirstPageNumber="1" r:id="rId1"/>
  <headerFooter alignWithMargins="0">
    <oddFooter>&amp;C&amp;18&amp;P</oddFooter>
  </headerFooter>
  <rowBreaks count="6" manualBreakCount="6">
    <brk id="39" max="7" man="1"/>
    <brk id="81" max="7" man="1"/>
    <brk id="145" max="7" man="1"/>
    <brk id="189" max="7" man="1"/>
    <brk id="233" max="7" man="1"/>
    <brk id="306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269"/>
  <sheetViews>
    <sheetView zoomScale="75" zoomScaleNormal="75" zoomScaleSheetLayoutView="75" workbookViewId="0">
      <selection activeCell="O16" sqref="O16"/>
    </sheetView>
  </sheetViews>
  <sheetFormatPr defaultColWidth="9.28515625" defaultRowHeight="18" x14ac:dyDescent="0.25"/>
  <cols>
    <col min="1" max="1" width="10" style="4" customWidth="1"/>
    <col min="2" max="2" width="54.28515625" style="4" customWidth="1"/>
    <col min="3" max="3" width="17.28515625" style="23" customWidth="1"/>
    <col min="4" max="4" width="10.28515625" style="103" customWidth="1"/>
    <col min="5" max="5" width="16.7109375" style="23" customWidth="1"/>
    <col min="6" max="6" width="9.7109375" style="23" customWidth="1"/>
    <col min="7" max="7" width="17.28515625" style="17" customWidth="1"/>
    <col min="8" max="8" width="10" style="18" customWidth="1"/>
    <col min="9" max="9" width="37.7109375" style="4" bestFit="1" customWidth="1"/>
    <col min="10" max="10" width="9.28515625" style="4"/>
    <col min="11" max="11" width="12.5703125" style="4" bestFit="1" customWidth="1"/>
    <col min="12" max="12" width="9.28515625" style="4"/>
    <col min="13" max="13" width="15.5703125" style="4" bestFit="1" customWidth="1"/>
    <col min="14" max="14" width="9.28515625" style="4"/>
    <col min="15" max="15" width="10" style="4" bestFit="1" customWidth="1"/>
    <col min="16" max="16384" width="9.28515625" style="4"/>
  </cols>
  <sheetData>
    <row r="1" spans="1:15" ht="21" customHeight="1" x14ac:dyDescent="0.25"/>
    <row r="2" spans="1:15" ht="40.5" customHeight="1" x14ac:dyDescent="0.25">
      <c r="A2" s="165"/>
      <c r="B2" s="221" t="s">
        <v>21</v>
      </c>
      <c r="C2" s="222"/>
      <c r="D2" s="222"/>
      <c r="E2" s="222"/>
      <c r="F2" s="222"/>
      <c r="G2" s="223"/>
      <c r="H2" s="20"/>
    </row>
    <row r="5" spans="1:15" x14ac:dyDescent="0.25">
      <c r="A5" s="5"/>
      <c r="B5" s="5"/>
      <c r="C5" s="104" t="s">
        <v>200</v>
      </c>
      <c r="E5" s="104" t="s">
        <v>212</v>
      </c>
      <c r="F5" s="181"/>
      <c r="G5" s="52"/>
      <c r="H5" s="191"/>
    </row>
    <row r="6" spans="1:15" x14ac:dyDescent="0.25">
      <c r="B6" s="2"/>
      <c r="C6" s="105" t="s">
        <v>95</v>
      </c>
      <c r="E6" s="105" t="s">
        <v>40</v>
      </c>
      <c r="F6" s="141"/>
      <c r="G6" s="193" t="s">
        <v>41</v>
      </c>
      <c r="H6" s="192"/>
    </row>
    <row r="7" spans="1:15" x14ac:dyDescent="0.25">
      <c r="C7" s="106" t="s">
        <v>42</v>
      </c>
      <c r="E7" s="106" t="s">
        <v>42</v>
      </c>
      <c r="F7" s="141"/>
      <c r="G7" s="194" t="s">
        <v>28</v>
      </c>
      <c r="H7" s="25"/>
    </row>
    <row r="9" spans="1:15" ht="20.25" x14ac:dyDescent="0.3">
      <c r="B9" s="118" t="s">
        <v>54</v>
      </c>
      <c r="C9" s="23" t="s">
        <v>0</v>
      </c>
      <c r="E9" s="23" t="s">
        <v>0</v>
      </c>
      <c r="G9" s="23" t="s">
        <v>0</v>
      </c>
      <c r="H9" s="90"/>
    </row>
    <row r="11" spans="1:15" ht="20.25" x14ac:dyDescent="0.3">
      <c r="B11" s="121" t="s">
        <v>127</v>
      </c>
      <c r="C11" s="23">
        <f>C65</f>
        <v>-207100</v>
      </c>
      <c r="E11" s="23">
        <f>+E65</f>
        <v>-239000</v>
      </c>
      <c r="G11" s="17">
        <f t="shared" ref="G11:G29" si="0">C11-E11</f>
        <v>31900</v>
      </c>
    </row>
    <row r="12" spans="1:15" ht="20.25" x14ac:dyDescent="0.3">
      <c r="B12" s="119"/>
      <c r="K12" s="49"/>
      <c r="L12" s="49"/>
      <c r="M12" s="49"/>
      <c r="N12" s="49"/>
      <c r="O12" s="49"/>
    </row>
    <row r="13" spans="1:15" ht="20.25" x14ac:dyDescent="0.3">
      <c r="B13" s="119" t="s">
        <v>128</v>
      </c>
      <c r="C13" s="23">
        <f>C88</f>
        <v>-228300</v>
      </c>
      <c r="E13" s="23">
        <f>E88</f>
        <v>-240500</v>
      </c>
      <c r="G13" s="17">
        <f t="shared" si="0"/>
        <v>12200</v>
      </c>
      <c r="K13" s="49"/>
      <c r="L13" s="49"/>
      <c r="M13" s="49"/>
      <c r="N13" s="49"/>
      <c r="O13" s="49"/>
    </row>
    <row r="14" spans="1:15" ht="20.25" x14ac:dyDescent="0.3">
      <c r="B14" s="121"/>
      <c r="K14" s="49"/>
      <c r="L14" s="49"/>
      <c r="M14" s="49"/>
      <c r="N14" s="49"/>
      <c r="O14" s="49"/>
    </row>
    <row r="15" spans="1:15" ht="20.25" x14ac:dyDescent="0.3">
      <c r="B15" s="121" t="s">
        <v>129</v>
      </c>
      <c r="C15" s="23">
        <f>+C112</f>
        <v>-299000</v>
      </c>
      <c r="D15" s="23"/>
      <c r="E15" s="23">
        <f>+E112</f>
        <v>-299100</v>
      </c>
      <c r="G15" s="17">
        <f t="shared" si="0"/>
        <v>100</v>
      </c>
      <c r="K15" s="49"/>
      <c r="L15" s="49"/>
      <c r="M15" s="49"/>
      <c r="N15" s="49"/>
      <c r="O15" s="49"/>
    </row>
    <row r="16" spans="1:15" ht="20.25" x14ac:dyDescent="0.3">
      <c r="B16" s="121"/>
      <c r="K16" s="49"/>
      <c r="L16" s="49"/>
      <c r="M16" s="49"/>
      <c r="N16" s="49"/>
      <c r="O16" s="49"/>
    </row>
    <row r="17" spans="2:15" ht="20.25" x14ac:dyDescent="0.3">
      <c r="B17" s="121" t="s">
        <v>130</v>
      </c>
      <c r="C17" s="23">
        <v>0</v>
      </c>
      <c r="E17" s="23">
        <f>+E131</f>
        <v>0</v>
      </c>
      <c r="G17" s="17">
        <f t="shared" si="0"/>
        <v>0</v>
      </c>
      <c r="K17" s="49"/>
      <c r="L17" s="49"/>
      <c r="M17" s="49"/>
      <c r="N17" s="49"/>
      <c r="O17" s="49"/>
    </row>
    <row r="18" spans="2:15" ht="20.25" x14ac:dyDescent="0.3">
      <c r="B18" s="121"/>
      <c r="K18" s="49"/>
      <c r="L18" s="49"/>
      <c r="M18" s="49"/>
      <c r="N18" s="49"/>
      <c r="O18" s="49"/>
    </row>
    <row r="19" spans="2:15" ht="20.25" x14ac:dyDescent="0.3">
      <c r="B19" s="121" t="s">
        <v>208</v>
      </c>
      <c r="C19" s="23">
        <v>0</v>
      </c>
      <c r="E19" s="23">
        <f>E146</f>
        <v>0</v>
      </c>
      <c r="G19" s="17">
        <f t="shared" si="0"/>
        <v>0</v>
      </c>
      <c r="K19" s="49"/>
      <c r="L19" s="49"/>
      <c r="M19" s="49"/>
      <c r="N19" s="49"/>
      <c r="O19" s="49"/>
    </row>
    <row r="20" spans="2:15" ht="20.25" x14ac:dyDescent="0.3">
      <c r="B20" s="121"/>
    </row>
    <row r="21" spans="2:15" ht="20.25" x14ac:dyDescent="0.3">
      <c r="B21" s="188" t="s">
        <v>131</v>
      </c>
      <c r="C21" s="23">
        <f>C169</f>
        <v>65800</v>
      </c>
      <c r="E21" s="23">
        <f>E169</f>
        <v>68600</v>
      </c>
      <c r="G21" s="17">
        <f t="shared" si="0"/>
        <v>-2800</v>
      </c>
    </row>
    <row r="22" spans="2:15" ht="20.25" x14ac:dyDescent="0.3">
      <c r="B22" s="121"/>
    </row>
    <row r="23" spans="2:15" ht="20.25" x14ac:dyDescent="0.3">
      <c r="B23" s="188" t="s">
        <v>132</v>
      </c>
      <c r="C23" s="23">
        <f>C196</f>
        <v>1114900</v>
      </c>
      <c r="E23" s="23">
        <f>E196</f>
        <v>1138700</v>
      </c>
      <c r="G23" s="17">
        <f t="shared" si="0"/>
        <v>-23800</v>
      </c>
    </row>
    <row r="24" spans="2:15" ht="20.25" x14ac:dyDescent="0.3">
      <c r="B24" s="121"/>
    </row>
    <row r="25" spans="2:15" ht="20.25" x14ac:dyDescent="0.3">
      <c r="B25" s="188" t="s">
        <v>204</v>
      </c>
      <c r="C25" s="23">
        <f>C222</f>
        <v>1303800</v>
      </c>
      <c r="E25" s="23">
        <f>E222</f>
        <v>1332500</v>
      </c>
      <c r="G25" s="17">
        <f t="shared" si="0"/>
        <v>-28700</v>
      </c>
    </row>
    <row r="26" spans="2:15" ht="20.25" x14ac:dyDescent="0.3">
      <c r="B26" s="121"/>
    </row>
    <row r="27" spans="2:15" ht="20.25" x14ac:dyDescent="0.3">
      <c r="B27" s="188" t="s">
        <v>133</v>
      </c>
      <c r="C27" s="113">
        <f>C249</f>
        <v>1426000</v>
      </c>
      <c r="E27" s="113">
        <f>E249</f>
        <v>1399100</v>
      </c>
      <c r="F27" s="113"/>
      <c r="G27" s="17">
        <f t="shared" si="0"/>
        <v>26900</v>
      </c>
    </row>
    <row r="28" spans="2:15" ht="20.25" x14ac:dyDescent="0.3">
      <c r="B28" s="188"/>
      <c r="C28" s="113"/>
      <c r="E28" s="113"/>
      <c r="F28" s="113"/>
    </row>
    <row r="29" spans="2:15" ht="20.25" x14ac:dyDescent="0.3">
      <c r="B29" s="188" t="s">
        <v>134</v>
      </c>
      <c r="C29" s="113">
        <f>C262</f>
        <v>59700</v>
      </c>
      <c r="E29" s="113">
        <f>E262</f>
        <v>62600</v>
      </c>
      <c r="F29" s="113"/>
      <c r="G29" s="17">
        <f t="shared" si="0"/>
        <v>-2900</v>
      </c>
    </row>
    <row r="30" spans="2:15" ht="20.25" x14ac:dyDescent="0.3">
      <c r="B30" s="121"/>
      <c r="C30" s="113"/>
      <c r="E30" s="113"/>
      <c r="F30" s="113"/>
    </row>
    <row r="31" spans="2:15" x14ac:dyDescent="0.25">
      <c r="C31" s="109"/>
      <c r="E31" s="109"/>
      <c r="F31" s="113"/>
      <c r="G31" s="109"/>
    </row>
    <row r="32" spans="2:15" ht="20.25" x14ac:dyDescent="0.3">
      <c r="B32" s="117" t="s">
        <v>55</v>
      </c>
      <c r="C32" s="23">
        <f>SUM(C11:C29)</f>
        <v>3235800</v>
      </c>
      <c r="D32" s="23"/>
      <c r="E32" s="23">
        <f>SUM(E11:E29)</f>
        <v>3222900</v>
      </c>
      <c r="G32" s="23">
        <f>SUM(G11:G29)</f>
        <v>12900</v>
      </c>
    </row>
    <row r="33" spans="1:8" ht="18.75" thickBot="1" x14ac:dyDescent="0.3">
      <c r="B33" s="6"/>
      <c r="C33" s="110"/>
      <c r="E33" s="110"/>
      <c r="F33" s="113"/>
      <c r="G33" s="110"/>
    </row>
    <row r="34" spans="1:8" ht="18.75" thickTop="1" x14ac:dyDescent="0.25"/>
    <row r="41" spans="1:8" x14ac:dyDescent="0.25">
      <c r="G41" s="23"/>
    </row>
    <row r="44" spans="1:8" ht="22.5" customHeight="1" x14ac:dyDescent="0.35">
      <c r="A44" s="1"/>
      <c r="B44" s="167"/>
    </row>
    <row r="45" spans="1:8" ht="40.5" customHeight="1" x14ac:dyDescent="0.25">
      <c r="B45" s="221" t="s">
        <v>21</v>
      </c>
      <c r="C45" s="222"/>
      <c r="D45" s="222"/>
      <c r="E45" s="222"/>
      <c r="F45" s="222"/>
      <c r="G45" s="223"/>
    </row>
    <row r="48" spans="1:8" x14ac:dyDescent="0.25">
      <c r="A48" s="5"/>
      <c r="B48" s="5"/>
      <c r="C48" s="104" t="s">
        <v>200</v>
      </c>
      <c r="E48" s="104" t="s">
        <v>212</v>
      </c>
      <c r="F48" s="181"/>
      <c r="G48" s="52"/>
      <c r="H48" s="191"/>
    </row>
    <row r="49" spans="2:8" x14ac:dyDescent="0.25">
      <c r="B49" s="2"/>
      <c r="C49" s="105" t="s">
        <v>95</v>
      </c>
      <c r="E49" s="105" t="s">
        <v>40</v>
      </c>
      <c r="F49" s="141"/>
      <c r="G49" s="193" t="s">
        <v>41</v>
      </c>
      <c r="H49" s="192"/>
    </row>
    <row r="50" spans="2:8" x14ac:dyDescent="0.25">
      <c r="C50" s="106" t="s">
        <v>42</v>
      </c>
      <c r="E50" s="106" t="s">
        <v>42</v>
      </c>
      <c r="F50" s="141"/>
      <c r="G50" s="194" t="s">
        <v>28</v>
      </c>
      <c r="H50" s="25"/>
    </row>
    <row r="51" spans="2:8" x14ac:dyDescent="0.25">
      <c r="G51" s="4"/>
      <c r="H51" s="1"/>
    </row>
    <row r="52" spans="2:8" ht="20.25" x14ac:dyDescent="0.3">
      <c r="B52" s="118" t="s">
        <v>127</v>
      </c>
      <c r="C52" s="23" t="s">
        <v>0</v>
      </c>
      <c r="E52" s="23" t="s">
        <v>0</v>
      </c>
      <c r="G52" s="23" t="s">
        <v>0</v>
      </c>
      <c r="H52" s="1"/>
    </row>
    <row r="53" spans="2:8" x14ac:dyDescent="0.25">
      <c r="G53" s="4"/>
      <c r="H53" s="1"/>
    </row>
    <row r="54" spans="2:8" x14ac:dyDescent="0.25">
      <c r="B54" s="4" t="s">
        <v>56</v>
      </c>
      <c r="C54" s="23">
        <v>5600</v>
      </c>
      <c r="E54" s="23">
        <f>4500+1100-1000</f>
        <v>4600</v>
      </c>
      <c r="G54" s="4">
        <f>C54-E54</f>
        <v>1000</v>
      </c>
      <c r="H54" s="1"/>
    </row>
    <row r="55" spans="2:8" x14ac:dyDescent="0.25">
      <c r="B55" s="4" t="s">
        <v>57</v>
      </c>
      <c r="C55" s="113">
        <v>29000</v>
      </c>
      <c r="D55" s="114"/>
      <c r="E55" s="113">
        <f>41000-12000</f>
        <v>29000</v>
      </c>
      <c r="F55" s="113"/>
      <c r="G55" s="4">
        <f>C55-E55</f>
        <v>0</v>
      </c>
      <c r="H55" s="1"/>
    </row>
    <row r="56" spans="2:8" x14ac:dyDescent="0.25">
      <c r="C56" s="112"/>
      <c r="E56" s="112"/>
      <c r="F56" s="113"/>
      <c r="G56" s="10"/>
      <c r="H56" s="1"/>
    </row>
    <row r="57" spans="2:8" s="1" customFormat="1" x14ac:dyDescent="0.25">
      <c r="C57" s="113"/>
      <c r="D57" s="114"/>
      <c r="E57" s="113"/>
      <c r="F57" s="113"/>
    </row>
    <row r="58" spans="2:8" s="6" customFormat="1" x14ac:dyDescent="0.25">
      <c r="B58" s="6" t="s">
        <v>67</v>
      </c>
      <c r="C58" s="23">
        <f>SUM(C53:C55)</f>
        <v>34600</v>
      </c>
      <c r="D58" s="12"/>
      <c r="E58" s="23">
        <f>SUM(E53:E55)</f>
        <v>33600</v>
      </c>
      <c r="F58" s="23"/>
      <c r="G58" s="6">
        <f>C58-E58</f>
        <v>1000</v>
      </c>
      <c r="H58" s="8"/>
    </row>
    <row r="59" spans="2:8" x14ac:dyDescent="0.25">
      <c r="G59" s="4"/>
      <c r="H59" s="1"/>
    </row>
    <row r="60" spans="2:8" x14ac:dyDescent="0.25">
      <c r="B60" s="4" t="s">
        <v>135</v>
      </c>
      <c r="C60" s="23">
        <v>27900</v>
      </c>
      <c r="E60" s="23">
        <v>27900</v>
      </c>
      <c r="G60" s="4">
        <f>E60-C60</f>
        <v>0</v>
      </c>
      <c r="H60" s="1"/>
    </row>
    <row r="61" spans="2:8" x14ac:dyDescent="0.25">
      <c r="B61" s="4" t="s">
        <v>86</v>
      </c>
      <c r="C61" s="113">
        <v>145000</v>
      </c>
      <c r="D61" s="114"/>
      <c r="E61" s="113">
        <f>145000+16600</f>
        <v>161600</v>
      </c>
      <c r="F61" s="113"/>
      <c r="G61" s="4">
        <f>E61-C61</f>
        <v>16600</v>
      </c>
      <c r="H61" s="1"/>
    </row>
    <row r="62" spans="2:8" x14ac:dyDescent="0.25">
      <c r="B62" s="4" t="s">
        <v>206</v>
      </c>
      <c r="C62" s="113">
        <v>68800</v>
      </c>
      <c r="D62" s="114"/>
      <c r="E62" s="113">
        <f>68800+14300</f>
        <v>83100</v>
      </c>
      <c r="F62" s="113"/>
      <c r="G62" s="4">
        <f>E62-C62</f>
        <v>14300</v>
      </c>
      <c r="H62" s="1"/>
    </row>
    <row r="63" spans="2:8" x14ac:dyDescent="0.25">
      <c r="C63" s="112"/>
      <c r="E63" s="112"/>
      <c r="F63" s="113"/>
      <c r="G63" s="10"/>
      <c r="H63" s="1"/>
    </row>
    <row r="64" spans="2:8" s="1" customFormat="1" x14ac:dyDescent="0.25">
      <c r="C64" s="113"/>
      <c r="D64" s="114"/>
      <c r="E64" s="113"/>
      <c r="F64" s="113"/>
      <c r="G64" s="113"/>
    </row>
    <row r="65" spans="1:8" x14ac:dyDescent="0.25">
      <c r="A65" s="6"/>
      <c r="B65" s="11" t="s">
        <v>55</v>
      </c>
      <c r="C65" s="23">
        <f>C58-C60-C61-C62</f>
        <v>-207100</v>
      </c>
      <c r="D65" s="12"/>
      <c r="E65" s="23">
        <f>E58-E60-E61-E62</f>
        <v>-239000</v>
      </c>
      <c r="G65" s="23">
        <f>E65-C65</f>
        <v>-31900</v>
      </c>
      <c r="H65" s="1"/>
    </row>
    <row r="66" spans="1:8" ht="18.75" thickBot="1" x14ac:dyDescent="0.3">
      <c r="C66" s="110"/>
      <c r="E66" s="110"/>
      <c r="F66" s="113"/>
      <c r="G66" s="110"/>
      <c r="H66" s="1"/>
    </row>
    <row r="67" spans="1:8" ht="12.75" customHeight="1" thickTop="1" x14ac:dyDescent="0.25">
      <c r="C67" s="113"/>
      <c r="E67" s="113"/>
      <c r="F67" s="113"/>
      <c r="G67" s="4"/>
      <c r="H67" s="1"/>
    </row>
    <row r="68" spans="1:8" x14ac:dyDescent="0.25">
      <c r="C68" s="113"/>
      <c r="E68" s="113"/>
      <c r="F68" s="113"/>
      <c r="G68" s="4"/>
      <c r="H68" s="1"/>
    </row>
    <row r="69" spans="1:8" x14ac:dyDescent="0.25">
      <c r="G69" s="4"/>
      <c r="H69" s="1"/>
    </row>
    <row r="70" spans="1:8" ht="40.5" customHeight="1" x14ac:dyDescent="0.25">
      <c r="A70" s="1"/>
      <c r="B70" s="221" t="s">
        <v>21</v>
      </c>
      <c r="C70" s="222"/>
      <c r="D70" s="222"/>
      <c r="E70" s="222"/>
      <c r="F70" s="222"/>
      <c r="G70" s="223"/>
      <c r="H70" s="1"/>
    </row>
    <row r="71" spans="1:8" x14ac:dyDescent="0.25">
      <c r="G71" s="4"/>
      <c r="H71" s="1"/>
    </row>
    <row r="72" spans="1:8" x14ac:dyDescent="0.25">
      <c r="G72" s="4"/>
      <c r="H72" s="1"/>
    </row>
    <row r="73" spans="1:8" x14ac:dyDescent="0.25">
      <c r="A73" s="5"/>
      <c r="B73" s="5"/>
      <c r="C73" s="104" t="s">
        <v>200</v>
      </c>
      <c r="E73" s="104" t="s">
        <v>212</v>
      </c>
      <c r="F73" s="181"/>
      <c r="G73" s="52"/>
      <c r="H73" s="191"/>
    </row>
    <row r="74" spans="1:8" x14ac:dyDescent="0.25">
      <c r="C74" s="105" t="s">
        <v>95</v>
      </c>
      <c r="E74" s="105" t="s">
        <v>40</v>
      </c>
      <c r="F74" s="141"/>
      <c r="G74" s="193" t="s">
        <v>41</v>
      </c>
      <c r="H74" s="192"/>
    </row>
    <row r="75" spans="1:8" x14ac:dyDescent="0.25">
      <c r="C75" s="106" t="s">
        <v>42</v>
      </c>
      <c r="E75" s="106" t="s">
        <v>42</v>
      </c>
      <c r="F75" s="141"/>
      <c r="G75" s="194" t="s">
        <v>28</v>
      </c>
      <c r="H75" s="25"/>
    </row>
    <row r="76" spans="1:8" x14ac:dyDescent="0.25">
      <c r="G76" s="4"/>
      <c r="H76" s="1"/>
    </row>
    <row r="77" spans="1:8" ht="20.25" x14ac:dyDescent="0.3">
      <c r="B77" s="117" t="s">
        <v>128</v>
      </c>
      <c r="C77" s="23" t="s">
        <v>0</v>
      </c>
      <c r="E77" s="23" t="s">
        <v>0</v>
      </c>
      <c r="G77" s="23" t="s">
        <v>0</v>
      </c>
      <c r="H77" s="1"/>
    </row>
    <row r="78" spans="1:8" x14ac:dyDescent="0.25">
      <c r="G78" s="4"/>
      <c r="H78" s="1"/>
    </row>
    <row r="79" spans="1:8" x14ac:dyDescent="0.25">
      <c r="B79" s="4" t="s">
        <v>56</v>
      </c>
      <c r="C79" s="23">
        <v>89500</v>
      </c>
      <c r="E79" s="23">
        <f>80800+8700+3500</f>
        <v>93000</v>
      </c>
      <c r="G79" s="4">
        <f>C79-E79</f>
        <v>-3500</v>
      </c>
      <c r="H79" s="1"/>
    </row>
    <row r="80" spans="1:8" x14ac:dyDescent="0.25">
      <c r="B80" s="4" t="s">
        <v>57</v>
      </c>
      <c r="C80" s="113">
        <v>1700</v>
      </c>
      <c r="D80" s="114"/>
      <c r="E80" s="113">
        <f>3700-2000-700</f>
        <v>1000</v>
      </c>
      <c r="F80" s="113"/>
      <c r="G80" s="4">
        <f>C80-E80</f>
        <v>700</v>
      </c>
      <c r="H80" s="1"/>
    </row>
    <row r="81" spans="1:8" x14ac:dyDescent="0.25">
      <c r="C81" s="112"/>
      <c r="D81" s="114"/>
      <c r="E81" s="112"/>
      <c r="F81" s="113"/>
      <c r="G81" s="10"/>
      <c r="H81" s="1"/>
    </row>
    <row r="82" spans="1:8" x14ac:dyDescent="0.25">
      <c r="C82" s="113"/>
      <c r="D82" s="114"/>
      <c r="E82" s="113"/>
      <c r="F82" s="113"/>
      <c r="G82" s="4"/>
      <c r="H82" s="1"/>
    </row>
    <row r="83" spans="1:8" s="8" customFormat="1" x14ac:dyDescent="0.25">
      <c r="B83" s="6" t="s">
        <v>67</v>
      </c>
      <c r="C83" s="113">
        <f>SUM(C78:C80)</f>
        <v>91200</v>
      </c>
      <c r="D83" s="115"/>
      <c r="E83" s="113">
        <f>SUM(E78:E80)</f>
        <v>94000</v>
      </c>
      <c r="F83" s="113"/>
      <c r="G83" s="6">
        <f>C83-E83</f>
        <v>-2800</v>
      </c>
    </row>
    <row r="84" spans="1:8" x14ac:dyDescent="0.25">
      <c r="C84" s="113"/>
      <c r="D84" s="114"/>
      <c r="E84" s="113"/>
      <c r="G84" s="4"/>
      <c r="H84" s="1"/>
    </row>
    <row r="85" spans="1:8" x14ac:dyDescent="0.25">
      <c r="B85" s="4" t="s">
        <v>135</v>
      </c>
      <c r="C85" s="113">
        <v>319500</v>
      </c>
      <c r="D85" s="114"/>
      <c r="E85" s="113">
        <f>319500+15000</f>
        <v>334500</v>
      </c>
      <c r="F85" s="113"/>
      <c r="G85" s="6">
        <f>E85-C85</f>
        <v>15000</v>
      </c>
      <c r="H85" s="1"/>
    </row>
    <row r="86" spans="1:8" x14ac:dyDescent="0.25">
      <c r="C86" s="112"/>
      <c r="E86" s="112"/>
      <c r="F86" s="113"/>
      <c r="G86" s="10"/>
      <c r="H86" s="1"/>
    </row>
    <row r="87" spans="1:8" s="1" customFormat="1" x14ac:dyDescent="0.25">
      <c r="C87" s="113"/>
      <c r="D87" s="114"/>
      <c r="E87" s="113"/>
      <c r="F87" s="113"/>
    </row>
    <row r="88" spans="1:8" x14ac:dyDescent="0.25">
      <c r="A88" s="6"/>
      <c r="B88" s="11" t="s">
        <v>55</v>
      </c>
      <c r="C88" s="23">
        <f>C83-C85</f>
        <v>-228300</v>
      </c>
      <c r="D88" s="12"/>
      <c r="E88" s="23">
        <f>E83-E85</f>
        <v>-240500</v>
      </c>
      <c r="G88" s="6">
        <f>E88-C88</f>
        <v>-12200</v>
      </c>
      <c r="H88" s="1"/>
    </row>
    <row r="89" spans="1:8" ht="18.75" thickBot="1" x14ac:dyDescent="0.3">
      <c r="B89" s="9"/>
      <c r="C89" s="116"/>
      <c r="E89" s="116"/>
      <c r="F89" s="102"/>
      <c r="G89" s="116"/>
      <c r="H89" s="1"/>
    </row>
    <row r="90" spans="1:8" ht="18.75" thickTop="1" x14ac:dyDescent="0.25">
      <c r="G90" s="4"/>
      <c r="H90" s="1"/>
    </row>
    <row r="91" spans="1:8" x14ac:dyDescent="0.25">
      <c r="G91" s="4"/>
      <c r="H91" s="1"/>
    </row>
    <row r="92" spans="1:8" x14ac:dyDescent="0.25">
      <c r="G92" s="4"/>
      <c r="H92" s="1"/>
    </row>
    <row r="93" spans="1:8" ht="40.5" customHeight="1" x14ac:dyDescent="0.25">
      <c r="B93" s="221" t="s">
        <v>21</v>
      </c>
      <c r="C93" s="222"/>
      <c r="D93" s="222"/>
      <c r="E93" s="222"/>
      <c r="F93" s="222"/>
      <c r="G93" s="223"/>
      <c r="H93" s="1"/>
    </row>
    <row r="94" spans="1:8" x14ac:dyDescent="0.25">
      <c r="G94" s="4"/>
      <c r="H94" s="1"/>
    </row>
    <row r="95" spans="1:8" x14ac:dyDescent="0.25">
      <c r="G95" s="4"/>
      <c r="H95" s="1"/>
    </row>
    <row r="96" spans="1:8" x14ac:dyDescent="0.25">
      <c r="B96" s="5"/>
      <c r="C96" s="104" t="s">
        <v>200</v>
      </c>
      <c r="E96" s="104" t="s">
        <v>212</v>
      </c>
      <c r="F96" s="181"/>
      <c r="G96" s="52"/>
      <c r="H96" s="1"/>
    </row>
    <row r="97" spans="2:8" x14ac:dyDescent="0.25">
      <c r="C97" s="105" t="s">
        <v>95</v>
      </c>
      <c r="E97" s="105" t="s">
        <v>40</v>
      </c>
      <c r="F97" s="141"/>
      <c r="G97" s="193" t="s">
        <v>41</v>
      </c>
      <c r="H97" s="1"/>
    </row>
    <row r="98" spans="2:8" x14ac:dyDescent="0.25">
      <c r="C98" s="106" t="s">
        <v>42</v>
      </c>
      <c r="E98" s="106" t="s">
        <v>42</v>
      </c>
      <c r="F98" s="141"/>
      <c r="G98" s="194" t="s">
        <v>28</v>
      </c>
      <c r="H98" s="1"/>
    </row>
    <row r="99" spans="2:8" x14ac:dyDescent="0.25">
      <c r="G99" s="4"/>
      <c r="H99" s="1"/>
    </row>
    <row r="100" spans="2:8" ht="20.25" x14ac:dyDescent="0.3">
      <c r="B100" s="118" t="s">
        <v>129</v>
      </c>
      <c r="C100" s="23" t="s">
        <v>0</v>
      </c>
      <c r="E100" s="23" t="s">
        <v>0</v>
      </c>
      <c r="G100" s="23" t="s">
        <v>0</v>
      </c>
      <c r="H100" s="1"/>
    </row>
    <row r="101" spans="2:8" x14ac:dyDescent="0.25">
      <c r="G101" s="4"/>
      <c r="H101" s="1"/>
    </row>
    <row r="102" spans="2:8" x14ac:dyDescent="0.25">
      <c r="B102" s="4" t="s">
        <v>56</v>
      </c>
      <c r="C102" s="113">
        <v>21300</v>
      </c>
      <c r="D102" s="114"/>
      <c r="E102" s="113">
        <f>23600-2300</f>
        <v>21300</v>
      </c>
      <c r="F102" s="113"/>
      <c r="G102" s="1">
        <f>C102-E102</f>
        <v>0</v>
      </c>
      <c r="H102" s="1"/>
    </row>
    <row r="103" spans="2:8" x14ac:dyDescent="0.25">
      <c r="B103" s="4" t="s">
        <v>57</v>
      </c>
      <c r="C103" s="113">
        <v>0</v>
      </c>
      <c r="D103" s="114"/>
      <c r="E103" s="113">
        <v>700</v>
      </c>
      <c r="F103" s="113"/>
      <c r="G103" s="1">
        <f>C103-E103</f>
        <v>-700</v>
      </c>
      <c r="H103" s="1"/>
    </row>
    <row r="104" spans="2:8" x14ac:dyDescent="0.25">
      <c r="C104" s="112"/>
      <c r="D104" s="114"/>
      <c r="E104" s="112"/>
      <c r="F104" s="113"/>
      <c r="G104" s="10"/>
      <c r="H104" s="1"/>
    </row>
    <row r="105" spans="2:8" s="1" customFormat="1" x14ac:dyDescent="0.25">
      <c r="C105" s="113"/>
      <c r="D105" s="114"/>
      <c r="E105" s="113"/>
      <c r="F105" s="113"/>
    </row>
    <row r="106" spans="2:8" s="8" customFormat="1" x14ac:dyDescent="0.25">
      <c r="B106" s="6" t="s">
        <v>67</v>
      </c>
      <c r="C106" s="113">
        <f>SUM(C101:C103)</f>
        <v>21300</v>
      </c>
      <c r="D106" s="115"/>
      <c r="E106" s="113">
        <f>SUM(E101:E103)</f>
        <v>22000</v>
      </c>
      <c r="F106" s="113"/>
      <c r="G106" s="8">
        <f>C106-E106</f>
        <v>-700</v>
      </c>
    </row>
    <row r="107" spans="2:8" x14ac:dyDescent="0.25">
      <c r="B107" s="6"/>
      <c r="C107" s="113"/>
      <c r="D107" s="114"/>
      <c r="E107" s="113"/>
      <c r="F107" s="113"/>
      <c r="G107" s="1"/>
      <c r="H107" s="1"/>
    </row>
    <row r="108" spans="2:8" x14ac:dyDescent="0.25">
      <c r="C108" s="113"/>
      <c r="D108" s="114"/>
      <c r="E108" s="113"/>
      <c r="F108" s="113"/>
      <c r="G108" s="1"/>
      <c r="H108" s="1"/>
    </row>
    <row r="109" spans="2:8" x14ac:dyDescent="0.25">
      <c r="B109" s="9" t="s">
        <v>86</v>
      </c>
      <c r="C109" s="113">
        <v>257800</v>
      </c>
      <c r="D109" s="113"/>
      <c r="E109" s="113">
        <f>257800-10800</f>
        <v>247000</v>
      </c>
      <c r="F109" s="113"/>
      <c r="G109" s="8">
        <f>E109-C109</f>
        <v>-10800</v>
      </c>
      <c r="H109" s="1"/>
    </row>
    <row r="110" spans="2:8" x14ac:dyDescent="0.25">
      <c r="B110" s="4" t="s">
        <v>206</v>
      </c>
      <c r="C110" s="210">
        <v>62500</v>
      </c>
      <c r="D110" s="4"/>
      <c r="E110" s="210">
        <f>62500+11600</f>
        <v>74100</v>
      </c>
      <c r="F110" s="113"/>
      <c r="G110" s="210">
        <f>E110-C110</f>
        <v>11600</v>
      </c>
      <c r="H110" s="1"/>
    </row>
    <row r="111" spans="2:8" s="1" customFormat="1" x14ac:dyDescent="0.25">
      <c r="C111" s="113"/>
      <c r="D111" s="114"/>
      <c r="E111" s="113"/>
      <c r="F111" s="113"/>
    </row>
    <row r="112" spans="2:8" s="1" customFormat="1" x14ac:dyDescent="0.25">
      <c r="B112" s="11" t="s">
        <v>55</v>
      </c>
      <c r="C112" s="113">
        <f>C106-C109-C110</f>
        <v>-299000</v>
      </c>
      <c r="D112" s="115"/>
      <c r="E112" s="113">
        <f>E106-E109-E110</f>
        <v>-299100</v>
      </c>
      <c r="F112" s="113"/>
      <c r="G112" s="8">
        <f>C112-E112</f>
        <v>100</v>
      </c>
    </row>
    <row r="113" spans="1:8" ht="18.75" thickBot="1" x14ac:dyDescent="0.3">
      <c r="C113" s="110"/>
      <c r="E113" s="110"/>
      <c r="F113" s="113"/>
      <c r="G113" s="110"/>
      <c r="H113" s="1"/>
    </row>
    <row r="114" spans="1:8" ht="18.75" thickTop="1" x14ac:dyDescent="0.25">
      <c r="G114" s="4"/>
      <c r="H114" s="1"/>
    </row>
    <row r="115" spans="1:8" x14ac:dyDescent="0.25">
      <c r="G115" s="4"/>
      <c r="H115" s="1"/>
    </row>
    <row r="116" spans="1:8" ht="40.5" customHeight="1" x14ac:dyDescent="0.25">
      <c r="A116" s="1"/>
      <c r="B116" s="221" t="s">
        <v>21</v>
      </c>
      <c r="C116" s="222"/>
      <c r="D116" s="222"/>
      <c r="E116" s="222"/>
      <c r="F116" s="222"/>
      <c r="G116" s="223"/>
      <c r="H116" s="1"/>
    </row>
    <row r="117" spans="1:8" ht="27" x14ac:dyDescent="0.35">
      <c r="A117" s="1"/>
      <c r="B117" s="167"/>
      <c r="G117" s="4"/>
      <c r="H117" s="1"/>
    </row>
    <row r="118" spans="1:8" x14ac:dyDescent="0.25">
      <c r="A118" s="5"/>
      <c r="B118" s="5"/>
      <c r="C118" s="104" t="s">
        <v>200</v>
      </c>
      <c r="E118" s="104" t="s">
        <v>212</v>
      </c>
      <c r="F118" s="181"/>
      <c r="G118" s="52"/>
      <c r="H118" s="191"/>
    </row>
    <row r="119" spans="1:8" x14ac:dyDescent="0.25">
      <c r="B119" s="3"/>
      <c r="C119" s="105" t="s">
        <v>95</v>
      </c>
      <c r="E119" s="105" t="s">
        <v>40</v>
      </c>
      <c r="F119" s="141"/>
      <c r="G119" s="193" t="s">
        <v>41</v>
      </c>
      <c r="H119" s="192"/>
    </row>
    <row r="120" spans="1:8" x14ac:dyDescent="0.25">
      <c r="B120" s="3"/>
      <c r="C120" s="106" t="s">
        <v>42</v>
      </c>
      <c r="E120" s="106" t="s">
        <v>42</v>
      </c>
      <c r="F120" s="141"/>
      <c r="G120" s="194" t="s">
        <v>28</v>
      </c>
      <c r="H120" s="25"/>
    </row>
    <row r="121" spans="1:8" ht="30.75" customHeight="1" x14ac:dyDescent="0.25">
      <c r="G121" s="4"/>
      <c r="H121" s="1"/>
    </row>
    <row r="122" spans="1:8" ht="20.25" x14ac:dyDescent="0.3">
      <c r="B122" s="118" t="s">
        <v>130</v>
      </c>
      <c r="C122" s="23" t="s">
        <v>0</v>
      </c>
      <c r="E122" s="23" t="s">
        <v>0</v>
      </c>
      <c r="G122" s="23" t="s">
        <v>0</v>
      </c>
      <c r="H122" s="1"/>
    </row>
    <row r="123" spans="1:8" x14ac:dyDescent="0.25">
      <c r="G123" s="4"/>
      <c r="H123" s="1"/>
    </row>
    <row r="124" spans="1:8" x14ac:dyDescent="0.25">
      <c r="B124" s="4" t="s">
        <v>56</v>
      </c>
      <c r="C124" s="209">
        <f>25793800+44200+62500+61000</f>
        <v>25961500</v>
      </c>
      <c r="D124" s="24"/>
      <c r="E124" s="209">
        <f>25793800+48700+74100+72800</f>
        <v>25989400</v>
      </c>
      <c r="F124" s="158"/>
      <c r="G124" s="4">
        <f>C124-E124</f>
        <v>-27900</v>
      </c>
      <c r="H124" s="1"/>
    </row>
    <row r="125" spans="1:8" x14ac:dyDescent="0.25">
      <c r="D125" s="24"/>
      <c r="G125" s="4"/>
      <c r="H125" s="1"/>
    </row>
    <row r="126" spans="1:8" x14ac:dyDescent="0.25">
      <c r="B126" s="9" t="s">
        <v>86</v>
      </c>
      <c r="C126" s="113">
        <f>25300000</f>
        <v>25300000</v>
      </c>
      <c r="D126" s="102"/>
      <c r="E126" s="113">
        <v>25300000</v>
      </c>
      <c r="F126" s="113"/>
      <c r="G126" s="4">
        <f>E126-C126</f>
        <v>0</v>
      </c>
      <c r="H126" s="1"/>
    </row>
    <row r="127" spans="1:8" x14ac:dyDescent="0.25">
      <c r="B127" s="9" t="s">
        <v>173</v>
      </c>
      <c r="C127" s="113">
        <f>393800+167700</f>
        <v>561500</v>
      </c>
      <c r="D127" s="102"/>
      <c r="E127" s="113">
        <f>C127+27900</f>
        <v>589400</v>
      </c>
      <c r="F127" s="113"/>
      <c r="G127" s="4">
        <f t="shared" ref="G127:G128" si="1">E127-C127</f>
        <v>27900</v>
      </c>
      <c r="H127" s="1"/>
    </row>
    <row r="128" spans="1:8" x14ac:dyDescent="0.25">
      <c r="B128" s="9" t="s">
        <v>215</v>
      </c>
      <c r="C128" s="113">
        <v>100000</v>
      </c>
      <c r="D128" s="102"/>
      <c r="E128" s="113">
        <f>C128</f>
        <v>100000</v>
      </c>
      <c r="F128" s="113"/>
      <c r="G128" s="4">
        <f t="shared" si="1"/>
        <v>0</v>
      </c>
      <c r="H128" s="1"/>
    </row>
    <row r="129" spans="1:8" x14ac:dyDescent="0.25">
      <c r="B129" s="9"/>
      <c r="C129" s="112"/>
      <c r="E129" s="112"/>
      <c r="F129" s="113"/>
      <c r="G129" s="10"/>
      <c r="H129" s="1"/>
    </row>
    <row r="130" spans="1:8" s="1" customFormat="1" x14ac:dyDescent="0.25">
      <c r="C130" s="113"/>
      <c r="D130" s="114"/>
      <c r="E130" s="113"/>
      <c r="F130" s="113"/>
    </row>
    <row r="131" spans="1:8" x14ac:dyDescent="0.25">
      <c r="A131" s="6"/>
      <c r="B131" s="11" t="s">
        <v>55</v>
      </c>
      <c r="C131" s="23">
        <f>C124-SUM(C126:C128)</f>
        <v>0</v>
      </c>
      <c r="D131" s="12"/>
      <c r="E131" s="23">
        <f>E124-SUM(E126:E128)</f>
        <v>0</v>
      </c>
      <c r="G131" s="6">
        <f>C131-E131</f>
        <v>0</v>
      </c>
      <c r="H131" s="1"/>
    </row>
    <row r="132" spans="1:8" ht="18.75" thickBot="1" x14ac:dyDescent="0.3">
      <c r="C132" s="110"/>
      <c r="E132" s="110"/>
      <c r="F132" s="113"/>
      <c r="G132" s="110"/>
      <c r="H132" s="1"/>
    </row>
    <row r="133" spans="1:8" ht="18.75" thickTop="1" x14ac:dyDescent="0.25">
      <c r="C133" s="113"/>
      <c r="E133" s="113"/>
      <c r="F133" s="113"/>
      <c r="G133" s="4"/>
      <c r="H133" s="1"/>
    </row>
    <row r="134" spans="1:8" x14ac:dyDescent="0.25">
      <c r="C134" s="113"/>
      <c r="E134" s="113"/>
      <c r="F134" s="113"/>
      <c r="G134" s="4"/>
      <c r="H134" s="1"/>
    </row>
    <row r="135" spans="1:8" x14ac:dyDescent="0.25">
      <c r="C135" s="104" t="s">
        <v>200</v>
      </c>
      <c r="E135" s="104" t="s">
        <v>212</v>
      </c>
      <c r="F135" s="181"/>
      <c r="G135" s="52"/>
      <c r="H135" s="1"/>
    </row>
    <row r="136" spans="1:8" x14ac:dyDescent="0.25">
      <c r="C136" s="105" t="s">
        <v>95</v>
      </c>
      <c r="E136" s="105" t="s">
        <v>40</v>
      </c>
      <c r="F136" s="141"/>
      <c r="G136" s="193" t="s">
        <v>41</v>
      </c>
      <c r="H136" s="1"/>
    </row>
    <row r="137" spans="1:8" x14ac:dyDescent="0.25">
      <c r="C137" s="106" t="s">
        <v>42</v>
      </c>
      <c r="E137" s="106" t="s">
        <v>42</v>
      </c>
      <c r="F137" s="141"/>
      <c r="G137" s="194" t="s">
        <v>28</v>
      </c>
      <c r="H137" s="1"/>
    </row>
    <row r="138" spans="1:8" x14ac:dyDescent="0.25">
      <c r="G138" s="4"/>
      <c r="H138" s="1"/>
    </row>
    <row r="139" spans="1:8" ht="20.25" x14ac:dyDescent="0.3">
      <c r="B139" s="118" t="s">
        <v>208</v>
      </c>
      <c r="C139" s="23" t="s">
        <v>0</v>
      </c>
      <c r="E139" s="23" t="s">
        <v>0</v>
      </c>
      <c r="G139" s="23" t="s">
        <v>0</v>
      </c>
      <c r="H139" s="1"/>
    </row>
    <row r="140" spans="1:8" x14ac:dyDescent="0.25">
      <c r="C140" s="113"/>
      <c r="E140" s="113"/>
      <c r="F140" s="113"/>
      <c r="G140" s="4"/>
      <c r="H140" s="1"/>
    </row>
    <row r="141" spans="1:8" x14ac:dyDescent="0.25">
      <c r="B141" s="4" t="s">
        <v>136</v>
      </c>
      <c r="C141" s="113">
        <f>7800000-7800000</f>
        <v>0</v>
      </c>
      <c r="D141" s="24"/>
      <c r="E141" s="113">
        <v>0</v>
      </c>
      <c r="F141" s="113"/>
      <c r="G141" s="4">
        <f>C141-E141</f>
        <v>0</v>
      </c>
      <c r="H141" s="1"/>
    </row>
    <row r="142" spans="1:8" x14ac:dyDescent="0.25">
      <c r="B142" s="9"/>
      <c r="C142" s="113"/>
      <c r="D142" s="24"/>
      <c r="E142" s="113"/>
      <c r="F142" s="113"/>
      <c r="G142" s="4"/>
      <c r="H142" s="1"/>
    </row>
    <row r="143" spans="1:8" x14ac:dyDescent="0.25">
      <c r="B143" s="4" t="s">
        <v>86</v>
      </c>
      <c r="C143" s="113">
        <f>7800000-7800000</f>
        <v>0</v>
      </c>
      <c r="D143" s="24"/>
      <c r="E143" s="113">
        <f>E141</f>
        <v>0</v>
      </c>
      <c r="F143" s="113"/>
      <c r="G143" s="4">
        <f>E143-C143</f>
        <v>0</v>
      </c>
      <c r="H143" s="1"/>
    </row>
    <row r="144" spans="1:8" x14ac:dyDescent="0.25">
      <c r="C144" s="113"/>
      <c r="D144" s="24"/>
      <c r="E144" s="113"/>
      <c r="F144" s="113"/>
      <c r="G144" s="4"/>
      <c r="H144" s="1"/>
    </row>
    <row r="145" spans="1:8" ht="17.25" customHeight="1" x14ac:dyDescent="0.25">
      <c r="C145" s="109"/>
      <c r="E145" s="109"/>
      <c r="F145" s="113"/>
      <c r="G145" s="109"/>
      <c r="H145" s="1"/>
    </row>
    <row r="146" spans="1:8" x14ac:dyDescent="0.25">
      <c r="A146" s="6"/>
      <c r="B146" s="11" t="s">
        <v>55</v>
      </c>
      <c r="C146" s="113">
        <f>C141-C143</f>
        <v>0</v>
      </c>
      <c r="D146" s="12"/>
      <c r="E146" s="113">
        <f>E141-E143</f>
        <v>0</v>
      </c>
      <c r="F146" s="113"/>
      <c r="G146" s="113">
        <f>C146-E146</f>
        <v>0</v>
      </c>
      <c r="H146" s="1"/>
    </row>
    <row r="147" spans="1:8" ht="18.75" thickBot="1" x14ac:dyDescent="0.3">
      <c r="C147" s="110"/>
      <c r="E147" s="110"/>
      <c r="F147" s="113"/>
      <c r="G147" s="110"/>
      <c r="H147" s="1"/>
    </row>
    <row r="148" spans="1:8" ht="18.75" thickTop="1" x14ac:dyDescent="0.25">
      <c r="C148" s="113"/>
      <c r="E148" s="113"/>
      <c r="F148" s="113"/>
      <c r="G148" s="4"/>
      <c r="H148" s="1"/>
    </row>
    <row r="149" spans="1:8" x14ac:dyDescent="0.25">
      <c r="G149" s="4"/>
      <c r="H149" s="1"/>
    </row>
    <row r="150" spans="1:8" ht="40.5" customHeight="1" x14ac:dyDescent="0.25">
      <c r="B150" s="221" t="s">
        <v>21</v>
      </c>
      <c r="C150" s="222"/>
      <c r="D150" s="222"/>
      <c r="E150" s="222"/>
      <c r="F150" s="222"/>
      <c r="G150" s="223"/>
      <c r="H150" s="1"/>
    </row>
    <row r="151" spans="1:8" x14ac:dyDescent="0.25">
      <c r="G151" s="4"/>
      <c r="H151" s="1"/>
    </row>
    <row r="152" spans="1:8" x14ac:dyDescent="0.25">
      <c r="G152" s="4"/>
      <c r="H152" s="1"/>
    </row>
    <row r="153" spans="1:8" x14ac:dyDescent="0.25">
      <c r="C153" s="104" t="s">
        <v>200</v>
      </c>
      <c r="E153" s="104" t="s">
        <v>212</v>
      </c>
      <c r="F153" s="181"/>
      <c r="G153" s="52"/>
      <c r="H153" s="1"/>
    </row>
    <row r="154" spans="1:8" x14ac:dyDescent="0.25">
      <c r="C154" s="105" t="s">
        <v>95</v>
      </c>
      <c r="E154" s="105" t="s">
        <v>40</v>
      </c>
      <c r="F154" s="141"/>
      <c r="G154" s="193" t="s">
        <v>41</v>
      </c>
      <c r="H154" s="1"/>
    </row>
    <row r="155" spans="1:8" ht="30.75" customHeight="1" x14ac:dyDescent="0.25">
      <c r="C155" s="106" t="s">
        <v>42</v>
      </c>
      <c r="E155" s="106" t="s">
        <v>42</v>
      </c>
      <c r="F155" s="141"/>
      <c r="G155" s="194" t="s">
        <v>28</v>
      </c>
      <c r="H155" s="1"/>
    </row>
    <row r="156" spans="1:8" ht="21.75" customHeight="1" x14ac:dyDescent="0.35">
      <c r="B156" s="167"/>
      <c r="G156" s="4"/>
      <c r="H156" s="1"/>
    </row>
    <row r="157" spans="1:8" ht="19.5" customHeight="1" x14ac:dyDescent="0.3">
      <c r="B157" s="118" t="s">
        <v>131</v>
      </c>
      <c r="C157" s="23" t="s">
        <v>0</v>
      </c>
      <c r="E157" s="23" t="s">
        <v>0</v>
      </c>
      <c r="G157" s="23" t="s">
        <v>0</v>
      </c>
      <c r="H157" s="1"/>
    </row>
    <row r="158" spans="1:8" ht="19.5" customHeight="1" x14ac:dyDescent="0.25">
      <c r="C158" s="113"/>
      <c r="E158" s="113"/>
      <c r="F158" s="113"/>
      <c r="G158" s="4"/>
      <c r="H158" s="1"/>
    </row>
    <row r="159" spans="1:8" ht="19.5" customHeight="1" x14ac:dyDescent="0.25">
      <c r="B159" s="4" t="s">
        <v>6</v>
      </c>
      <c r="C159" s="113">
        <v>19500</v>
      </c>
      <c r="E159" s="113">
        <f>17400+100+1100+100+800-1400+1200</f>
        <v>19300</v>
      </c>
      <c r="F159" s="113"/>
      <c r="G159" s="4">
        <f>C159-E159</f>
        <v>200</v>
      </c>
      <c r="H159" s="1"/>
    </row>
    <row r="160" spans="1:8" ht="19.5" customHeight="1" x14ac:dyDescent="0.25">
      <c r="B160" s="4" t="s">
        <v>56</v>
      </c>
      <c r="C160" s="113">
        <v>2400</v>
      </c>
      <c r="E160" s="113">
        <f>2300+100+2600-200</f>
        <v>4800</v>
      </c>
      <c r="F160" s="113"/>
      <c r="G160" s="4">
        <f>C160-E160</f>
        <v>-2400</v>
      </c>
      <c r="H160" s="1"/>
    </row>
    <row r="161" spans="1:8" ht="19.5" customHeight="1" x14ac:dyDescent="0.25">
      <c r="B161" s="4" t="s">
        <v>57</v>
      </c>
      <c r="C161" s="113">
        <v>43900</v>
      </c>
      <c r="E161" s="113">
        <f>43400+500+1100</f>
        <v>45000</v>
      </c>
      <c r="F161" s="113"/>
      <c r="G161" s="4">
        <f>C161-E161</f>
        <v>-1100</v>
      </c>
      <c r="H161" s="1"/>
    </row>
    <row r="162" spans="1:8" ht="19.5" customHeight="1" x14ac:dyDescent="0.25">
      <c r="B162" s="7"/>
      <c r="C162" s="113"/>
      <c r="E162" s="113"/>
      <c r="F162" s="113"/>
      <c r="G162" s="4"/>
      <c r="H162" s="1"/>
    </row>
    <row r="163" spans="1:8" ht="19.5" customHeight="1" x14ac:dyDescent="0.25">
      <c r="C163" s="205"/>
      <c r="E163" s="205"/>
      <c r="F163" s="113"/>
      <c r="G163" s="211"/>
      <c r="H163" s="8"/>
    </row>
    <row r="164" spans="1:8" ht="19.5" customHeight="1" x14ac:dyDescent="0.25">
      <c r="B164" s="6" t="s">
        <v>67</v>
      </c>
      <c r="C164" s="113">
        <f>SUM(C159:C163)</f>
        <v>65800</v>
      </c>
      <c r="E164" s="113">
        <f>SUM(E159:E163)</f>
        <v>69100</v>
      </c>
      <c r="F164" s="113"/>
      <c r="G164" s="4">
        <f>C164-E164</f>
        <v>-3300</v>
      </c>
      <c r="H164" s="1"/>
    </row>
    <row r="165" spans="1:8" ht="19.5" customHeight="1" x14ac:dyDescent="0.25">
      <c r="C165" s="103"/>
      <c r="E165" s="103"/>
      <c r="F165" s="103"/>
      <c r="G165" s="4"/>
      <c r="H165" s="1"/>
    </row>
    <row r="166" spans="1:8" ht="19.5" customHeight="1" x14ac:dyDescent="0.25">
      <c r="B166" s="16" t="s">
        <v>26</v>
      </c>
      <c r="C166" s="113">
        <v>0</v>
      </c>
      <c r="E166" s="113">
        <v>500</v>
      </c>
      <c r="F166" s="113"/>
      <c r="G166" s="4">
        <f>E166-C166</f>
        <v>500</v>
      </c>
      <c r="H166" s="1"/>
    </row>
    <row r="167" spans="1:8" ht="19.5" customHeight="1" x14ac:dyDescent="0.25">
      <c r="B167" s="7"/>
      <c r="C167" s="113"/>
      <c r="E167" s="113"/>
      <c r="F167" s="113"/>
      <c r="G167" s="4"/>
      <c r="H167" s="1"/>
    </row>
    <row r="168" spans="1:8" ht="19.5" customHeight="1" x14ac:dyDescent="0.25">
      <c r="C168" s="109"/>
      <c r="E168" s="109"/>
      <c r="F168" s="113"/>
      <c r="G168" s="109"/>
      <c r="H168" s="1"/>
    </row>
    <row r="169" spans="1:8" ht="19.5" customHeight="1" x14ac:dyDescent="0.25">
      <c r="B169" s="11" t="s">
        <v>55</v>
      </c>
      <c r="C169" s="113">
        <f>C164-C166</f>
        <v>65800</v>
      </c>
      <c r="D169" s="114"/>
      <c r="E169" s="113">
        <f>E164-E166</f>
        <v>68600</v>
      </c>
      <c r="F169" s="113"/>
      <c r="G169" s="113">
        <f>C169-E169</f>
        <v>-2800</v>
      </c>
      <c r="H169" s="1"/>
    </row>
    <row r="170" spans="1:8" ht="19.5" customHeight="1" thickBot="1" x14ac:dyDescent="0.3">
      <c r="B170" s="100"/>
      <c r="C170" s="110"/>
      <c r="E170" s="110"/>
      <c r="F170" s="113"/>
      <c r="G170" s="110"/>
      <c r="H170" s="1"/>
    </row>
    <row r="171" spans="1:8" ht="19.5" customHeight="1" thickTop="1" x14ac:dyDescent="0.25">
      <c r="C171" s="113"/>
      <c r="E171" s="113"/>
      <c r="F171" s="113"/>
      <c r="G171" s="4"/>
      <c r="H171" s="1"/>
    </row>
    <row r="172" spans="1:8" x14ac:dyDescent="0.25">
      <c r="C172" s="113"/>
      <c r="E172" s="113"/>
      <c r="F172" s="113"/>
      <c r="G172" s="4"/>
      <c r="H172" s="1"/>
    </row>
    <row r="173" spans="1:8" x14ac:dyDescent="0.25">
      <c r="G173" s="4"/>
      <c r="H173" s="1"/>
    </row>
    <row r="174" spans="1:8" x14ac:dyDescent="0.25">
      <c r="G174" s="4"/>
      <c r="H174" s="1"/>
    </row>
    <row r="175" spans="1:8" ht="40.5" customHeight="1" x14ac:dyDescent="0.25">
      <c r="A175" s="1"/>
      <c r="B175" s="221" t="s">
        <v>21</v>
      </c>
      <c r="C175" s="222"/>
      <c r="D175" s="222"/>
      <c r="E175" s="222"/>
      <c r="F175" s="222"/>
      <c r="G175" s="223"/>
      <c r="H175" s="1"/>
    </row>
    <row r="176" spans="1:8" ht="15.75" customHeight="1" x14ac:dyDescent="0.35">
      <c r="B176" s="167"/>
      <c r="C176" s="102"/>
      <c r="D176" s="114"/>
      <c r="E176" s="102"/>
      <c r="F176" s="102"/>
      <c r="G176" s="4"/>
      <c r="H176" s="1"/>
    </row>
    <row r="177" spans="1:8" x14ac:dyDescent="0.25">
      <c r="A177" s="5"/>
      <c r="C177" s="24"/>
      <c r="E177" s="24"/>
      <c r="F177" s="24"/>
      <c r="G177" s="4"/>
      <c r="H177" s="191"/>
    </row>
    <row r="178" spans="1:8" x14ac:dyDescent="0.25">
      <c r="B178" s="5"/>
      <c r="C178" s="104" t="s">
        <v>200</v>
      </c>
      <c r="E178" s="104" t="s">
        <v>212</v>
      </c>
      <c r="F178" s="181"/>
      <c r="G178" s="52"/>
      <c r="H178" s="192"/>
    </row>
    <row r="179" spans="1:8" x14ac:dyDescent="0.25">
      <c r="C179" s="105" t="s">
        <v>95</v>
      </c>
      <c r="E179" s="105" t="s">
        <v>40</v>
      </c>
      <c r="F179" s="141"/>
      <c r="G179" s="193" t="s">
        <v>41</v>
      </c>
      <c r="H179" s="25"/>
    </row>
    <row r="180" spans="1:8" x14ac:dyDescent="0.25">
      <c r="C180" s="106" t="s">
        <v>42</v>
      </c>
      <c r="E180" s="106" t="s">
        <v>42</v>
      </c>
      <c r="F180" s="141"/>
      <c r="G180" s="194" t="s">
        <v>28</v>
      </c>
      <c r="H180" s="1"/>
    </row>
    <row r="181" spans="1:8" x14ac:dyDescent="0.25">
      <c r="C181" s="141"/>
      <c r="E181" s="141"/>
      <c r="F181" s="141"/>
      <c r="G181" s="4"/>
      <c r="H181" s="1"/>
    </row>
    <row r="182" spans="1:8" ht="20.25" x14ac:dyDescent="0.3">
      <c r="B182" s="118" t="s">
        <v>132</v>
      </c>
      <c r="C182" s="23" t="s">
        <v>0</v>
      </c>
      <c r="E182" s="23" t="s">
        <v>0</v>
      </c>
      <c r="G182" s="23" t="s">
        <v>0</v>
      </c>
      <c r="H182" s="1"/>
    </row>
    <row r="183" spans="1:8" x14ac:dyDescent="0.25">
      <c r="G183" s="4"/>
      <c r="H183" s="1"/>
    </row>
    <row r="184" spans="1:8" x14ac:dyDescent="0.25">
      <c r="B184" s="4" t="s">
        <v>6</v>
      </c>
      <c r="C184" s="23">
        <v>1001700</v>
      </c>
      <c r="E184" s="23">
        <f>1001700+18600-18600-33200+9300-7700+45100+5600+9000-60400+46500+13300</f>
        <v>1029200</v>
      </c>
      <c r="G184" s="4">
        <f>C184-E184</f>
        <v>-27500</v>
      </c>
      <c r="H184" s="1"/>
    </row>
    <row r="185" spans="1:8" x14ac:dyDescent="0.25">
      <c r="B185" s="4" t="s">
        <v>82</v>
      </c>
      <c r="C185" s="23">
        <v>500</v>
      </c>
      <c r="E185" s="23">
        <v>500</v>
      </c>
      <c r="G185" s="4">
        <f t="shared" ref="G185:G190" si="2">C185-E185</f>
        <v>0</v>
      </c>
      <c r="H185" s="1"/>
    </row>
    <row r="186" spans="1:8" x14ac:dyDescent="0.25">
      <c r="B186" s="4" t="s">
        <v>56</v>
      </c>
      <c r="C186" s="12">
        <v>188700</v>
      </c>
      <c r="E186" s="12">
        <f>188700-1200+400-500+100+8400+1000-9800</f>
        <v>187100</v>
      </c>
      <c r="F186" s="12"/>
      <c r="G186" s="4">
        <f t="shared" si="2"/>
        <v>1600</v>
      </c>
      <c r="H186" s="1"/>
    </row>
    <row r="187" spans="1:8" x14ac:dyDescent="0.25">
      <c r="B187" s="4" t="s">
        <v>57</v>
      </c>
      <c r="C187" s="23">
        <v>1000</v>
      </c>
      <c r="E187" s="23">
        <f>1000+5400</f>
        <v>6400</v>
      </c>
      <c r="G187" s="4">
        <f t="shared" si="2"/>
        <v>-5400</v>
      </c>
      <c r="H187" s="1"/>
    </row>
    <row r="188" spans="1:8" x14ac:dyDescent="0.25">
      <c r="B188" s="7"/>
      <c r="C188" s="112"/>
      <c r="E188" s="112"/>
      <c r="F188" s="113"/>
      <c r="G188" s="10"/>
      <c r="H188" s="1"/>
    </row>
    <row r="189" spans="1:8" x14ac:dyDescent="0.25">
      <c r="A189" s="8"/>
      <c r="C189" s="113"/>
      <c r="E189" s="113"/>
      <c r="F189" s="113"/>
      <c r="G189" s="4"/>
      <c r="H189" s="8"/>
    </row>
    <row r="190" spans="1:8" x14ac:dyDescent="0.25">
      <c r="B190" s="6" t="s">
        <v>67</v>
      </c>
      <c r="C190" s="113">
        <f>SUM(C184:C188)</f>
        <v>1191900</v>
      </c>
      <c r="E190" s="113">
        <f>SUM(E184:E188)</f>
        <v>1223200</v>
      </c>
      <c r="F190" s="113"/>
      <c r="G190" s="4">
        <f t="shared" si="2"/>
        <v>-31300</v>
      </c>
      <c r="H190" s="1"/>
    </row>
    <row r="191" spans="1:8" x14ac:dyDescent="0.25">
      <c r="A191" s="8"/>
      <c r="C191" s="103"/>
      <c r="E191" s="103"/>
      <c r="F191" s="103"/>
      <c r="G191" s="4"/>
      <c r="H191" s="1"/>
    </row>
    <row r="192" spans="1:8" x14ac:dyDescent="0.25">
      <c r="A192" s="1"/>
      <c r="B192" s="16" t="s">
        <v>26</v>
      </c>
      <c r="C192" s="113">
        <v>32800</v>
      </c>
      <c r="E192" s="113">
        <f>32800-5200+100</f>
        <v>27700</v>
      </c>
      <c r="F192" s="113"/>
      <c r="G192" s="4">
        <f>E192-C192</f>
        <v>-5100</v>
      </c>
      <c r="H192" s="1"/>
    </row>
    <row r="193" spans="1:8" x14ac:dyDescent="0.25">
      <c r="A193" s="1"/>
      <c r="B193" s="16" t="s">
        <v>86</v>
      </c>
      <c r="C193" s="113">
        <v>0</v>
      </c>
      <c r="E193" s="113">
        <v>8100</v>
      </c>
      <c r="F193" s="113"/>
      <c r="G193" s="4">
        <f>E193-C193</f>
        <v>8100</v>
      </c>
      <c r="H193" s="1"/>
    </row>
    <row r="194" spans="1:8" x14ac:dyDescent="0.25">
      <c r="A194" s="1"/>
      <c r="B194" s="16" t="s">
        <v>59</v>
      </c>
      <c r="C194" s="113">
        <v>44200</v>
      </c>
      <c r="E194" s="113">
        <f>44200+4500</f>
        <v>48700</v>
      </c>
      <c r="F194" s="113"/>
      <c r="G194" s="4">
        <f>E194-C194</f>
        <v>4500</v>
      </c>
      <c r="H194" s="1"/>
    </row>
    <row r="195" spans="1:8" x14ac:dyDescent="0.25">
      <c r="A195" s="1"/>
      <c r="B195" s="1"/>
      <c r="C195" s="109"/>
      <c r="E195" s="109"/>
      <c r="F195" s="113"/>
      <c r="G195" s="109"/>
      <c r="H195" s="1"/>
    </row>
    <row r="196" spans="1:8" x14ac:dyDescent="0.25">
      <c r="B196" s="11" t="s">
        <v>55</v>
      </c>
      <c r="C196" s="113">
        <f>C190-C192-C194</f>
        <v>1114900</v>
      </c>
      <c r="E196" s="113">
        <f>E190-E192-E193-E194</f>
        <v>1138700</v>
      </c>
      <c r="F196" s="113"/>
      <c r="G196" s="113">
        <f>C196-E196</f>
        <v>-23800</v>
      </c>
      <c r="H196" s="28"/>
    </row>
    <row r="197" spans="1:8" ht="18.75" thickBot="1" x14ac:dyDescent="0.3">
      <c r="C197" s="110"/>
      <c r="E197" s="110"/>
      <c r="F197" s="113"/>
      <c r="G197" s="110"/>
      <c r="H197" s="1"/>
    </row>
    <row r="198" spans="1:8" ht="18.75" thickTop="1" x14ac:dyDescent="0.25">
      <c r="G198" s="4"/>
      <c r="H198" s="1"/>
    </row>
    <row r="199" spans="1:8" ht="20.25" customHeight="1" x14ac:dyDescent="0.25">
      <c r="A199" s="1"/>
      <c r="G199" s="4"/>
      <c r="H199" s="20"/>
    </row>
    <row r="200" spans="1:8" ht="26.25" customHeight="1" x14ac:dyDescent="0.25">
      <c r="A200" s="1"/>
      <c r="G200" s="4"/>
      <c r="H200" s="20"/>
    </row>
    <row r="201" spans="1:8" ht="24" customHeight="1" x14ac:dyDescent="0.25">
      <c r="A201" s="1"/>
      <c r="G201" s="4"/>
      <c r="H201" s="20"/>
    </row>
    <row r="202" spans="1:8" ht="40.5" customHeight="1" x14ac:dyDescent="0.25">
      <c r="B202" s="221" t="s">
        <v>21</v>
      </c>
      <c r="C202" s="222"/>
      <c r="D202" s="222"/>
      <c r="E202" s="222"/>
      <c r="F202" s="222"/>
      <c r="G202" s="223"/>
      <c r="H202" s="20"/>
    </row>
    <row r="203" spans="1:8" ht="18.75" customHeight="1" x14ac:dyDescent="0.25">
      <c r="B203" s="186"/>
      <c r="C203" s="186"/>
      <c r="D203" s="186"/>
      <c r="E203" s="186"/>
      <c r="F203" s="186"/>
      <c r="G203" s="186"/>
      <c r="H203" s="20"/>
    </row>
    <row r="204" spans="1:8" x14ac:dyDescent="0.25">
      <c r="A204" s="5"/>
      <c r="C204" s="24"/>
      <c r="E204" s="24"/>
      <c r="F204" s="24"/>
      <c r="G204" s="19"/>
      <c r="H204" s="191"/>
    </row>
    <row r="205" spans="1:8" x14ac:dyDescent="0.25">
      <c r="B205" s="5"/>
      <c r="C205" s="104" t="s">
        <v>200</v>
      </c>
      <c r="E205" s="104" t="s">
        <v>212</v>
      </c>
      <c r="F205" s="181"/>
      <c r="G205" s="52"/>
      <c r="H205" s="192"/>
    </row>
    <row r="206" spans="1:8" x14ac:dyDescent="0.25">
      <c r="C206" s="105" t="s">
        <v>95</v>
      </c>
      <c r="E206" s="105" t="s">
        <v>40</v>
      </c>
      <c r="F206" s="141"/>
      <c r="G206" s="193" t="s">
        <v>41</v>
      </c>
      <c r="H206" s="25"/>
    </row>
    <row r="207" spans="1:8" x14ac:dyDescent="0.25">
      <c r="C207" s="106" t="s">
        <v>42</v>
      </c>
      <c r="E207" s="106" t="s">
        <v>42</v>
      </c>
      <c r="F207" s="141"/>
      <c r="G207" s="194" t="s">
        <v>28</v>
      </c>
      <c r="H207" s="31"/>
    </row>
    <row r="208" spans="1:8" x14ac:dyDescent="0.25">
      <c r="C208" s="141"/>
      <c r="E208" s="141"/>
      <c r="F208" s="141"/>
      <c r="G208" s="31"/>
    </row>
    <row r="209" spans="1:8" ht="20.25" x14ac:dyDescent="0.3">
      <c r="B209" s="117" t="s">
        <v>204</v>
      </c>
      <c r="C209" s="23" t="s">
        <v>0</v>
      </c>
      <c r="E209" s="23" t="s">
        <v>0</v>
      </c>
      <c r="G209" s="23" t="s">
        <v>0</v>
      </c>
    </row>
    <row r="210" spans="1:8" x14ac:dyDescent="0.25">
      <c r="H210" s="113"/>
    </row>
    <row r="211" spans="1:8" x14ac:dyDescent="0.25">
      <c r="B211" s="4" t="s">
        <v>6</v>
      </c>
      <c r="C211" s="23">
        <v>1190400</v>
      </c>
      <c r="E211" s="23">
        <f>1190400-41500+41500+56700+16100-21000-54200-500-2000-79600+54100</f>
        <v>1160000</v>
      </c>
      <c r="G211" s="24">
        <f>C211-E211</f>
        <v>30400</v>
      </c>
    </row>
    <row r="212" spans="1:8" x14ac:dyDescent="0.25">
      <c r="B212" s="4" t="s">
        <v>82</v>
      </c>
      <c r="C212" s="23">
        <v>2100</v>
      </c>
      <c r="E212" s="23">
        <f>2100-600</f>
        <v>1500</v>
      </c>
      <c r="G212" s="24">
        <f>C212-E212</f>
        <v>600</v>
      </c>
    </row>
    <row r="213" spans="1:8" x14ac:dyDescent="0.25">
      <c r="B213" s="4" t="s">
        <v>56</v>
      </c>
      <c r="C213" s="12">
        <v>111300</v>
      </c>
      <c r="E213" s="12">
        <f>111300+85800+10400-8200-2880-12620-1400-11400</f>
        <v>171000</v>
      </c>
      <c r="F213" s="12"/>
      <c r="G213" s="24">
        <f>C213-E213</f>
        <v>-59700</v>
      </c>
    </row>
    <row r="214" spans="1:8" x14ac:dyDescent="0.25">
      <c r="B214" s="4" t="s">
        <v>57</v>
      </c>
      <c r="C214" s="23">
        <f>39200-38500-700</f>
        <v>0</v>
      </c>
      <c r="E214" s="23">
        <v>0</v>
      </c>
      <c r="G214" s="24">
        <f>C214-E214</f>
        <v>0</v>
      </c>
    </row>
    <row r="215" spans="1:8" x14ac:dyDescent="0.25">
      <c r="B215" s="7" t="s">
        <v>182</v>
      </c>
      <c r="C215" s="112">
        <v>0</v>
      </c>
      <c r="E215" s="112">
        <v>0</v>
      </c>
      <c r="G215" s="128">
        <f>C215-E215</f>
        <v>0</v>
      </c>
    </row>
    <row r="216" spans="1:8" x14ac:dyDescent="0.25">
      <c r="G216" s="24"/>
    </row>
    <row r="217" spans="1:8" x14ac:dyDescent="0.25">
      <c r="B217" s="6" t="s">
        <v>67</v>
      </c>
      <c r="C217" s="23">
        <f>SUM(C211:C216)</f>
        <v>1303800</v>
      </c>
      <c r="E217" s="23">
        <f>SUM(E211:E216)</f>
        <v>1332500</v>
      </c>
      <c r="G217" s="23">
        <f>SUM(G211:G216)</f>
        <v>-28700</v>
      </c>
    </row>
    <row r="219" spans="1:8" x14ac:dyDescent="0.25">
      <c r="B219" s="9" t="s">
        <v>59</v>
      </c>
      <c r="C219" s="113">
        <v>0</v>
      </c>
      <c r="D219" s="114"/>
      <c r="E219" s="113">
        <f>155000-155000</f>
        <v>0</v>
      </c>
      <c r="F219" s="113"/>
      <c r="G219" s="18">
        <f>E219-C219</f>
        <v>0</v>
      </c>
    </row>
    <row r="220" spans="1:8" x14ac:dyDescent="0.25">
      <c r="B220" s="9"/>
      <c r="C220" s="112"/>
      <c r="E220" s="112"/>
      <c r="F220" s="113"/>
      <c r="G220" s="91"/>
    </row>
    <row r="221" spans="1:8" x14ac:dyDescent="0.25">
      <c r="A221" s="8"/>
      <c r="C221" s="113"/>
      <c r="E221" s="113"/>
      <c r="F221" s="113"/>
      <c r="G221" s="18"/>
    </row>
    <row r="222" spans="1:8" x14ac:dyDescent="0.25">
      <c r="A222" s="1"/>
      <c r="B222" s="11" t="s">
        <v>55</v>
      </c>
      <c r="C222" s="113">
        <f>C217-C219</f>
        <v>1303800</v>
      </c>
      <c r="D222" s="113"/>
      <c r="E222" s="113">
        <f>E217-E219-E220</f>
        <v>1332500</v>
      </c>
      <c r="F222" s="113"/>
      <c r="G222" s="113">
        <f>G217+G219</f>
        <v>-28700</v>
      </c>
    </row>
    <row r="223" spans="1:8" ht="18.75" thickBot="1" x14ac:dyDescent="0.3">
      <c r="B223" s="1"/>
      <c r="C223" s="110"/>
      <c r="E223" s="110"/>
      <c r="F223" s="113"/>
      <c r="G223" s="110"/>
    </row>
    <row r="224" spans="1:8" ht="18.75" thickTop="1" x14ac:dyDescent="0.25"/>
    <row r="228" spans="1:8" ht="40.5" customHeight="1" x14ac:dyDescent="0.25">
      <c r="B228" s="221" t="s">
        <v>21</v>
      </c>
      <c r="C228" s="222"/>
      <c r="D228" s="222"/>
      <c r="E228" s="222"/>
      <c r="F228" s="222"/>
      <c r="G228" s="223"/>
      <c r="H228" s="20"/>
    </row>
    <row r="229" spans="1:8" ht="21.75" customHeight="1" x14ac:dyDescent="0.25">
      <c r="B229" s="186"/>
      <c r="C229" s="186"/>
      <c r="D229" s="186"/>
      <c r="E229" s="186"/>
      <c r="F229" s="186"/>
      <c r="G229" s="186"/>
      <c r="H229" s="20"/>
    </row>
    <row r="230" spans="1:8" x14ac:dyDescent="0.25">
      <c r="A230" s="5"/>
      <c r="C230" s="24"/>
      <c r="E230" s="24"/>
      <c r="F230" s="24"/>
      <c r="G230" s="19"/>
      <c r="H230" s="1"/>
    </row>
    <row r="231" spans="1:8" x14ac:dyDescent="0.25">
      <c r="B231" s="5"/>
      <c r="C231" s="104" t="s">
        <v>200</v>
      </c>
      <c r="E231" s="104" t="s">
        <v>212</v>
      </c>
      <c r="F231" s="181"/>
      <c r="G231" s="52"/>
      <c r="H231" s="1"/>
    </row>
    <row r="232" spans="1:8" x14ac:dyDescent="0.25">
      <c r="C232" s="105" t="s">
        <v>95</v>
      </c>
      <c r="E232" s="105" t="s">
        <v>40</v>
      </c>
      <c r="F232" s="141"/>
      <c r="G232" s="193" t="s">
        <v>41</v>
      </c>
      <c r="H232" s="1"/>
    </row>
    <row r="233" spans="1:8" x14ac:dyDescent="0.25">
      <c r="B233" s="2"/>
      <c r="C233" s="106" t="s">
        <v>42</v>
      </c>
      <c r="E233" s="106" t="s">
        <v>42</v>
      </c>
      <c r="F233" s="141"/>
      <c r="G233" s="194" t="s">
        <v>28</v>
      </c>
      <c r="H233" s="31"/>
    </row>
    <row r="234" spans="1:8" x14ac:dyDescent="0.25">
      <c r="B234" s="2"/>
      <c r="C234" s="141"/>
      <c r="E234" s="141"/>
      <c r="F234" s="141"/>
      <c r="G234" s="31"/>
      <c r="H234" s="86"/>
    </row>
    <row r="235" spans="1:8" ht="20.25" x14ac:dyDescent="0.3">
      <c r="B235" s="118" t="s">
        <v>133</v>
      </c>
      <c r="C235" s="113" t="s">
        <v>0</v>
      </c>
      <c r="D235" s="115"/>
      <c r="E235" s="113" t="s">
        <v>0</v>
      </c>
      <c r="F235" s="102"/>
      <c r="G235" s="113" t="s">
        <v>0</v>
      </c>
    </row>
    <row r="237" spans="1:8" x14ac:dyDescent="0.25">
      <c r="B237" s="4" t="s">
        <v>6</v>
      </c>
      <c r="C237" s="23">
        <v>822800</v>
      </c>
      <c r="E237" s="23">
        <f>822800-14200+14200-105600+14500-2000-41600+33400</f>
        <v>721500</v>
      </c>
      <c r="G237" s="24">
        <f t="shared" ref="G237:G243" si="3">C237-E237</f>
        <v>101300</v>
      </c>
    </row>
    <row r="238" spans="1:8" x14ac:dyDescent="0.25">
      <c r="B238" s="4" t="s">
        <v>25</v>
      </c>
      <c r="C238" s="23">
        <v>1000</v>
      </c>
      <c r="E238" s="23">
        <f>1000-500</f>
        <v>500</v>
      </c>
      <c r="G238" s="24">
        <f t="shared" si="3"/>
        <v>500</v>
      </c>
    </row>
    <row r="239" spans="1:8" x14ac:dyDescent="0.25">
      <c r="B239" s="4" t="s">
        <v>56</v>
      </c>
      <c r="C239" s="23">
        <v>554100</v>
      </c>
      <c r="E239" s="23">
        <f>554100+20000+14900-26600+1100-100-10600+60000-60400</f>
        <v>552400</v>
      </c>
      <c r="G239" s="24">
        <f t="shared" si="3"/>
        <v>1700</v>
      </c>
    </row>
    <row r="240" spans="1:8" x14ac:dyDescent="0.25">
      <c r="B240" s="4" t="s">
        <v>57</v>
      </c>
      <c r="C240" s="23">
        <v>65300</v>
      </c>
      <c r="E240" s="23">
        <v>65300</v>
      </c>
      <c r="G240" s="24">
        <f t="shared" si="3"/>
        <v>0</v>
      </c>
    </row>
    <row r="241" spans="1:8" x14ac:dyDescent="0.25">
      <c r="B241" s="7" t="s">
        <v>205</v>
      </c>
      <c r="C241" s="23">
        <v>90000</v>
      </c>
      <c r="E241" s="23">
        <f>40000+50000</f>
        <v>90000</v>
      </c>
      <c r="G241" s="128">
        <f t="shared" si="3"/>
        <v>0</v>
      </c>
    </row>
    <row r="242" spans="1:8" x14ac:dyDescent="0.25">
      <c r="A242" s="6"/>
      <c r="C242" s="109"/>
      <c r="E242" s="109"/>
      <c r="F242" s="113"/>
    </row>
    <row r="243" spans="1:8" x14ac:dyDescent="0.25">
      <c r="A243" s="6"/>
      <c r="B243" s="11" t="s">
        <v>67</v>
      </c>
      <c r="C243" s="23">
        <f>SUM(C237:C242)</f>
        <v>1533200</v>
      </c>
      <c r="E243" s="23">
        <f>SUM(E237:E242)</f>
        <v>1429700</v>
      </c>
      <c r="G243" s="23">
        <f t="shared" si="3"/>
        <v>103500</v>
      </c>
    </row>
    <row r="244" spans="1:8" x14ac:dyDescent="0.25">
      <c r="A244" s="6"/>
      <c r="B244" s="6"/>
    </row>
    <row r="245" spans="1:8" x14ac:dyDescent="0.25">
      <c r="B245" s="4" t="s">
        <v>26</v>
      </c>
      <c r="C245" s="23">
        <v>72200</v>
      </c>
      <c r="E245" s="23">
        <f>72200-60000+1400</f>
        <v>13600</v>
      </c>
      <c r="G245" s="17">
        <f>E245-C245</f>
        <v>-58600</v>
      </c>
    </row>
    <row r="246" spans="1:8" x14ac:dyDescent="0.25">
      <c r="B246" s="4" t="s">
        <v>59</v>
      </c>
      <c r="C246" s="113">
        <v>35000</v>
      </c>
      <c r="E246" s="113">
        <f>35000-18000</f>
        <v>17000</v>
      </c>
      <c r="F246" s="113"/>
      <c r="G246" s="17">
        <f>E246-C246</f>
        <v>-18000</v>
      </c>
    </row>
    <row r="247" spans="1:8" x14ac:dyDescent="0.25">
      <c r="C247" s="113"/>
      <c r="D247" s="114"/>
      <c r="E247" s="113"/>
      <c r="F247" s="113"/>
      <c r="G247" s="91"/>
    </row>
    <row r="248" spans="1:8" x14ac:dyDescent="0.25">
      <c r="C248" s="205"/>
      <c r="D248" s="114"/>
      <c r="E248" s="205"/>
    </row>
    <row r="249" spans="1:8" x14ac:dyDescent="0.25">
      <c r="B249" s="11" t="s">
        <v>55</v>
      </c>
      <c r="C249" s="113">
        <f>C243-C245-C246</f>
        <v>1426000</v>
      </c>
      <c r="D249" s="24"/>
      <c r="E249" s="113">
        <f>E243-E245-E246-E247</f>
        <v>1399100</v>
      </c>
      <c r="F249" s="113"/>
      <c r="G249" s="17">
        <f>C249-E249</f>
        <v>26900</v>
      </c>
    </row>
    <row r="250" spans="1:8" ht="18.75" thickBot="1" x14ac:dyDescent="0.3">
      <c r="A250" s="1"/>
      <c r="B250" s="13"/>
      <c r="C250" s="110"/>
      <c r="D250" s="24"/>
      <c r="E250" s="110"/>
      <c r="F250" s="113"/>
      <c r="G250" s="110"/>
    </row>
    <row r="251" spans="1:8" ht="18.75" thickTop="1" x14ac:dyDescent="0.25">
      <c r="A251" s="1"/>
      <c r="B251" s="1"/>
      <c r="C251" s="113"/>
      <c r="E251" s="113"/>
      <c r="F251" s="113"/>
      <c r="G251" s="18"/>
    </row>
    <row r="252" spans="1:8" x14ac:dyDescent="0.25">
      <c r="A252" s="5"/>
      <c r="B252" s="1"/>
      <c r="C252" s="113"/>
      <c r="E252" s="113"/>
      <c r="F252" s="113"/>
      <c r="G252" s="18"/>
      <c r="H252" s="1"/>
    </row>
    <row r="253" spans="1:8" x14ac:dyDescent="0.25">
      <c r="B253" s="5"/>
      <c r="C253" s="104" t="s">
        <v>200</v>
      </c>
      <c r="E253" s="104" t="s">
        <v>212</v>
      </c>
      <c r="F253" s="181"/>
      <c r="G253" s="52"/>
      <c r="H253" s="1"/>
    </row>
    <row r="254" spans="1:8" x14ac:dyDescent="0.25">
      <c r="C254" s="105" t="s">
        <v>95</v>
      </c>
      <c r="E254" s="105" t="s">
        <v>40</v>
      </c>
      <c r="F254" s="141"/>
      <c r="G254" s="193" t="s">
        <v>41</v>
      </c>
      <c r="H254" s="1"/>
    </row>
    <row r="255" spans="1:8" x14ac:dyDescent="0.25">
      <c r="B255" s="2"/>
      <c r="C255" s="106" t="s">
        <v>42</v>
      </c>
      <c r="E255" s="106" t="s">
        <v>42</v>
      </c>
      <c r="F255" s="141"/>
      <c r="G255" s="194" t="s">
        <v>28</v>
      </c>
    </row>
    <row r="256" spans="1:8" ht="20.25" customHeight="1" x14ac:dyDescent="0.25">
      <c r="B256" s="3"/>
      <c r="H256" s="20"/>
    </row>
    <row r="257" spans="2:8" ht="20.25" x14ac:dyDescent="0.3">
      <c r="B257" s="118" t="s">
        <v>134</v>
      </c>
      <c r="C257" s="113" t="s">
        <v>0</v>
      </c>
      <c r="D257" s="115"/>
      <c r="E257" s="113" t="s">
        <v>0</v>
      </c>
      <c r="F257" s="102"/>
      <c r="G257" s="113" t="s">
        <v>0</v>
      </c>
      <c r="H257" s="20"/>
    </row>
    <row r="258" spans="2:8" x14ac:dyDescent="0.25">
      <c r="B258" s="8"/>
      <c r="C258" s="102"/>
      <c r="D258" s="114"/>
      <c r="E258" s="102"/>
      <c r="F258" s="102"/>
      <c r="G258" s="102"/>
    </row>
    <row r="259" spans="2:8" x14ac:dyDescent="0.25">
      <c r="B259" s="4" t="s">
        <v>56</v>
      </c>
      <c r="C259" s="23">
        <v>59700</v>
      </c>
      <c r="D259" s="114"/>
      <c r="E259" s="23">
        <f>59700+6200-3900+600</f>
        <v>62600</v>
      </c>
      <c r="G259" s="23">
        <f>C259-E259</f>
        <v>-2900</v>
      </c>
    </row>
    <row r="260" spans="2:8" x14ac:dyDescent="0.25">
      <c r="B260" s="7"/>
      <c r="C260" s="112"/>
      <c r="D260" s="114"/>
      <c r="E260" s="112"/>
      <c r="F260" s="113"/>
      <c r="G260" s="112"/>
    </row>
    <row r="261" spans="2:8" x14ac:dyDescent="0.25">
      <c r="B261" s="9"/>
      <c r="C261" s="113"/>
      <c r="D261" s="114"/>
      <c r="E261" s="113"/>
      <c r="F261" s="113"/>
      <c r="G261" s="113"/>
    </row>
    <row r="262" spans="2:8" x14ac:dyDescent="0.25">
      <c r="B262" s="11" t="s">
        <v>55</v>
      </c>
      <c r="C262" s="113">
        <f>C259</f>
        <v>59700</v>
      </c>
      <c r="D262" s="114"/>
      <c r="E262" s="113">
        <f>E259</f>
        <v>62600</v>
      </c>
      <c r="F262" s="113"/>
      <c r="G262" s="113">
        <f>G259</f>
        <v>-2900</v>
      </c>
      <c r="H262" s="20"/>
    </row>
    <row r="263" spans="2:8" ht="18.75" thickBot="1" x14ac:dyDescent="0.3">
      <c r="B263" s="8"/>
      <c r="C263" s="116"/>
      <c r="D263" s="114"/>
      <c r="E263" s="116"/>
      <c r="F263" s="102"/>
      <c r="G263" s="116"/>
    </row>
    <row r="264" spans="2:8" ht="18.75" thickTop="1" x14ac:dyDescent="0.25"/>
    <row r="265" spans="2:8" x14ac:dyDescent="0.25">
      <c r="D265" s="23"/>
    </row>
    <row r="267" spans="2:8" x14ac:dyDescent="0.25">
      <c r="C267" s="180"/>
      <c r="D267" s="180"/>
      <c r="E267" s="180"/>
      <c r="F267" s="180"/>
    </row>
    <row r="269" spans="2:8" x14ac:dyDescent="0.25">
      <c r="C269" s="180"/>
      <c r="D269" s="180"/>
      <c r="E269" s="180"/>
      <c r="F269" s="180"/>
    </row>
  </sheetData>
  <customSheetViews>
    <customSheetView guid="{CA1631C2-F325-11D6-AB9C-00B0D0BAF716}" scale="70" showRuler="0" topLeftCell="A274">
      <selection activeCell="B284" sqref="B284"/>
      <rowBreaks count="9" manualBreakCount="9">
        <brk id="40" max="11" man="1"/>
        <brk id="88" max="11" man="1"/>
        <brk id="122" max="11" man="1"/>
        <brk id="150" max="11" man="1"/>
        <brk id="185" max="11" man="1"/>
        <brk id="238" max="16383" man="1"/>
        <brk id="264" max="11" man="1"/>
        <brk id="294" max="11" man="1"/>
        <brk id="337" max="16383" man="1"/>
      </rowBreaks>
      <pageMargins left="0.43307086614173229" right="0.43307086614173229" top="0.98425196850393704" bottom="0.98425196850393704" header="0.51181102362204722" footer="0.51181102362204722"/>
      <pageSetup paperSize="9" scale="60" firstPageNumber="47" orientation="portrait" useFirstPageNumber="1" horizontalDpi="1200" verticalDpi="1200" r:id="rId1"/>
      <headerFooter alignWithMargins="0">
        <oddHeader>&amp;L&amp;14PORFOLIO HOLDER CLLR J GRAHAM&amp;R&amp;14BUDGET HOLDER MARTYN NEVE</oddHeader>
        <oddFooter>&amp;C&amp;18&amp;P</oddFooter>
      </headerFooter>
    </customSheetView>
    <customSheetView guid="{061CE440-224A-11D7-AABC-0050DA1BA6DB}" scale="70" showRuler="0" topLeftCell="B145">
      <selection activeCell="L157" sqref="L157"/>
      <rowBreaks count="10" manualBreakCount="10">
        <brk id="35" max="11" man="1"/>
        <brk id="81" max="11" man="1"/>
        <brk id="109" max="11" man="1"/>
        <brk id="138" max="11" man="1"/>
        <brk id="165" max="11" man="1"/>
        <brk id="200" max="11" man="1"/>
        <brk id="251" max="16383" man="1"/>
        <brk id="277" max="11" man="1"/>
        <brk id="306" max="11" man="1"/>
        <brk id="350" max="16383" man="1"/>
      </rowBreaks>
      <pageMargins left="0.43307086614173229" right="0.43307086614173229" top="0.98425196850393704" bottom="0.98425196850393704" header="0.51181102362204722" footer="0.51181102362204722"/>
      <pageSetup paperSize="9" scale="60" firstPageNumber="50" orientation="portrait" useFirstPageNumber="1" horizontalDpi="1200" verticalDpi="1200" r:id="rId2"/>
      <headerFooter alignWithMargins="0">
        <oddHeader>&amp;R&amp;18APPENDIX B</oddHeader>
        <oddFooter>&amp;C&amp;18&amp;P</oddFooter>
      </headerFooter>
    </customSheetView>
  </customSheetViews>
  <mergeCells count="9">
    <mergeCell ref="B228:G228"/>
    <mergeCell ref="B150:G150"/>
    <mergeCell ref="B175:G175"/>
    <mergeCell ref="B202:G202"/>
    <mergeCell ref="B2:G2"/>
    <mergeCell ref="B45:G45"/>
    <mergeCell ref="B70:G70"/>
    <mergeCell ref="B93:G93"/>
    <mergeCell ref="B116:G116"/>
  </mergeCells>
  <phoneticPr fontId="0" type="noConversion"/>
  <pageMargins left="0.94488188976377963" right="0.35433070866141736" top="0.55118110236220474" bottom="1.3779527559055118" header="1.3779527559055118" footer="0.59055118110236227"/>
  <pageSetup paperSize="9" scale="43" firstPageNumber="30" orientation="portrait" useFirstPageNumber="1" r:id="rId3"/>
  <headerFooter alignWithMargins="0">
    <oddFooter>&amp;C&amp;18&amp;P</oddFooter>
  </headerFooter>
  <rowBreaks count="4" manualBreakCount="4">
    <brk id="34" max="7" man="1"/>
    <brk id="114" max="7" man="1"/>
    <brk id="148" max="7" man="1"/>
    <brk id="19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2:O228"/>
  <sheetViews>
    <sheetView zoomScale="80" zoomScaleNormal="80" zoomScaleSheetLayoutView="70" workbookViewId="0">
      <selection activeCell="O16" sqref="O16"/>
    </sheetView>
  </sheetViews>
  <sheetFormatPr defaultColWidth="9.28515625" defaultRowHeight="18" x14ac:dyDescent="0.25"/>
  <cols>
    <col min="1" max="1" width="9.7109375" style="4" customWidth="1"/>
    <col min="2" max="2" width="54.28515625" style="4" customWidth="1"/>
    <col min="3" max="3" width="17.28515625" style="24" customWidth="1"/>
    <col min="4" max="4" width="10.28515625" style="103" customWidth="1"/>
    <col min="5" max="5" width="16.7109375" style="24" customWidth="1"/>
    <col min="6" max="6" width="9.7109375" style="103" customWidth="1"/>
    <col min="7" max="7" width="16.7109375" style="24" customWidth="1"/>
    <col min="8" max="8" width="9.7109375" style="103" customWidth="1"/>
    <col min="9" max="16384" width="9.28515625" style="4"/>
  </cols>
  <sheetData>
    <row r="2" spans="1:7" ht="41.25" customHeight="1" x14ac:dyDescent="0.35">
      <c r="A2" s="151"/>
      <c r="B2" s="224" t="s">
        <v>17</v>
      </c>
      <c r="C2" s="225"/>
      <c r="D2" s="225"/>
      <c r="E2" s="225"/>
      <c r="F2" s="225"/>
      <c r="G2" s="226"/>
    </row>
    <row r="5" spans="1:7" x14ac:dyDescent="0.25">
      <c r="A5" s="5"/>
      <c r="B5" s="166"/>
      <c r="C5" s="104" t="s">
        <v>200</v>
      </c>
      <c r="E5" s="104" t="s">
        <v>212</v>
      </c>
      <c r="G5" s="104"/>
    </row>
    <row r="6" spans="1:7" x14ac:dyDescent="0.25">
      <c r="C6" s="105" t="s">
        <v>95</v>
      </c>
      <c r="E6" s="105" t="s">
        <v>40</v>
      </c>
      <c r="G6" s="105" t="s">
        <v>41</v>
      </c>
    </row>
    <row r="7" spans="1:7" x14ac:dyDescent="0.25">
      <c r="C7" s="106" t="s">
        <v>42</v>
      </c>
      <c r="E7" s="106" t="s">
        <v>42</v>
      </c>
      <c r="G7" s="106" t="s">
        <v>28</v>
      </c>
    </row>
    <row r="8" spans="1:7" x14ac:dyDescent="0.25">
      <c r="C8" s="23"/>
      <c r="E8" s="23"/>
      <c r="G8" s="23"/>
    </row>
    <row r="9" spans="1:7" ht="20.25" x14ac:dyDescent="0.3">
      <c r="B9" s="118" t="s">
        <v>54</v>
      </c>
      <c r="C9" s="23" t="s">
        <v>0</v>
      </c>
      <c r="E9" s="23" t="s">
        <v>0</v>
      </c>
      <c r="G9" s="23" t="s">
        <v>0</v>
      </c>
    </row>
    <row r="10" spans="1:7" x14ac:dyDescent="0.25">
      <c r="C10" s="23"/>
      <c r="E10" s="23"/>
      <c r="G10" s="23"/>
    </row>
    <row r="11" spans="1:7" ht="20.25" x14ac:dyDescent="0.3">
      <c r="B11" s="121" t="s">
        <v>137</v>
      </c>
      <c r="C11" s="23">
        <f>C55</f>
        <v>-38100</v>
      </c>
      <c r="E11" s="23">
        <f>E55</f>
        <v>-37000</v>
      </c>
      <c r="G11" s="23">
        <f>C11-E11</f>
        <v>-1100</v>
      </c>
    </row>
    <row r="12" spans="1:7" ht="20.25" x14ac:dyDescent="0.3">
      <c r="B12" s="121"/>
      <c r="C12" s="23"/>
      <c r="E12" s="23"/>
      <c r="G12" s="23"/>
    </row>
    <row r="13" spans="1:7" ht="20.25" x14ac:dyDescent="0.3">
      <c r="B13" s="121" t="s">
        <v>138</v>
      </c>
      <c r="C13" s="23">
        <f>C77</f>
        <v>249600</v>
      </c>
      <c r="E13" s="23">
        <f>E77</f>
        <v>257100</v>
      </c>
      <c r="G13" s="23">
        <f>C13-E13</f>
        <v>-7500</v>
      </c>
    </row>
    <row r="14" spans="1:7" ht="20.25" x14ac:dyDescent="0.3">
      <c r="B14" s="121"/>
      <c r="C14" s="23"/>
      <c r="E14" s="23"/>
      <c r="G14" s="23"/>
    </row>
    <row r="15" spans="1:7" ht="20.25" x14ac:dyDescent="0.3">
      <c r="B15" s="121" t="s">
        <v>139</v>
      </c>
      <c r="C15" s="23">
        <f>C99</f>
        <v>57200</v>
      </c>
      <c r="E15" s="23">
        <f>E99</f>
        <v>88100</v>
      </c>
      <c r="G15" s="23">
        <f t="shared" ref="G15:G27" si="0">C15-E15</f>
        <v>-30900</v>
      </c>
    </row>
    <row r="16" spans="1:7" ht="20.25" x14ac:dyDescent="0.3">
      <c r="B16" s="121"/>
      <c r="C16" s="23"/>
      <c r="E16" s="23"/>
      <c r="G16" s="23"/>
    </row>
    <row r="17" spans="1:7" ht="20.25" x14ac:dyDescent="0.3">
      <c r="B17" s="121" t="s">
        <v>140</v>
      </c>
      <c r="C17" s="23">
        <f>C124</f>
        <v>574700</v>
      </c>
      <c r="E17" s="23">
        <f>E124</f>
        <v>529700</v>
      </c>
      <c r="G17" s="23">
        <f t="shared" si="0"/>
        <v>45000</v>
      </c>
    </row>
    <row r="18" spans="1:7" ht="20.25" x14ac:dyDescent="0.3">
      <c r="B18" s="121"/>
      <c r="C18" s="23"/>
      <c r="E18" s="23"/>
      <c r="G18" s="23"/>
    </row>
    <row r="19" spans="1:7" ht="20.25" x14ac:dyDescent="0.3">
      <c r="B19" s="121" t="s">
        <v>141</v>
      </c>
      <c r="C19" s="23">
        <f>C149</f>
        <v>41700</v>
      </c>
      <c r="E19" s="23">
        <f>+E149</f>
        <v>42300</v>
      </c>
      <c r="G19" s="23">
        <f t="shared" si="0"/>
        <v>-600</v>
      </c>
    </row>
    <row r="20" spans="1:7" ht="20.25" x14ac:dyDescent="0.3">
      <c r="B20" s="121"/>
      <c r="C20" s="23"/>
      <c r="E20" s="23"/>
      <c r="G20" s="23"/>
    </row>
    <row r="21" spans="1:7" ht="20.25" x14ac:dyDescent="0.3">
      <c r="B21" s="121" t="s">
        <v>142</v>
      </c>
      <c r="C21" s="23">
        <f>C163</f>
        <v>1300</v>
      </c>
      <c r="E21" s="23">
        <f>+E163</f>
        <v>1300</v>
      </c>
      <c r="G21" s="23">
        <f t="shared" si="0"/>
        <v>0</v>
      </c>
    </row>
    <row r="22" spans="1:7" ht="20.25" x14ac:dyDescent="0.3">
      <c r="B22" s="121"/>
      <c r="C22" s="23"/>
      <c r="E22" s="23"/>
      <c r="G22" s="23"/>
    </row>
    <row r="23" spans="1:7" ht="20.25" x14ac:dyDescent="0.3">
      <c r="B23" s="121" t="s">
        <v>143</v>
      </c>
      <c r="C23" s="23">
        <f>C180</f>
        <v>458300</v>
      </c>
      <c r="E23" s="23">
        <f>+E180</f>
        <v>539600</v>
      </c>
      <c r="G23" s="23">
        <f t="shared" si="0"/>
        <v>-81300</v>
      </c>
    </row>
    <row r="24" spans="1:7" ht="20.25" x14ac:dyDescent="0.3">
      <c r="B24" s="121"/>
      <c r="C24" s="23"/>
      <c r="E24" s="23"/>
      <c r="G24" s="23"/>
    </row>
    <row r="25" spans="1:7" ht="20.25" x14ac:dyDescent="0.3">
      <c r="B25" s="120" t="s">
        <v>145</v>
      </c>
      <c r="C25" s="23">
        <f>C202</f>
        <v>95600</v>
      </c>
      <c r="E25" s="23">
        <f>+E202</f>
        <v>89200</v>
      </c>
      <c r="G25" s="23">
        <f t="shared" si="0"/>
        <v>6400</v>
      </c>
    </row>
    <row r="26" spans="1:7" ht="20.25" x14ac:dyDescent="0.3">
      <c r="B26" s="120"/>
      <c r="C26" s="23"/>
      <c r="E26" s="23"/>
      <c r="G26" s="23"/>
    </row>
    <row r="27" spans="1:7" ht="20.25" x14ac:dyDescent="0.3">
      <c r="B27" s="119" t="s">
        <v>144</v>
      </c>
      <c r="C27" s="23">
        <f>C221</f>
        <v>308800</v>
      </c>
      <c r="E27" s="23">
        <f>E221</f>
        <v>254100</v>
      </c>
      <c r="G27" s="23">
        <f t="shared" si="0"/>
        <v>54700</v>
      </c>
    </row>
    <row r="28" spans="1:7" ht="20.25" x14ac:dyDescent="0.3">
      <c r="B28" s="119"/>
      <c r="C28" s="23"/>
      <c r="E28" s="23"/>
      <c r="G28" s="23"/>
    </row>
    <row r="29" spans="1:7" x14ac:dyDescent="0.25">
      <c r="A29" s="1"/>
      <c r="B29" s="1"/>
      <c r="C29" s="109"/>
      <c r="D29" s="114"/>
      <c r="E29" s="109"/>
      <c r="G29" s="109"/>
    </row>
    <row r="30" spans="1:7" ht="20.25" x14ac:dyDescent="0.3">
      <c r="A30" s="1"/>
      <c r="B30" s="117" t="s">
        <v>55</v>
      </c>
      <c r="C30" s="113">
        <f>SUM(C11:C27)</f>
        <v>1749100</v>
      </c>
      <c r="D30" s="114"/>
      <c r="E30" s="113">
        <f>SUM(E11:E27)</f>
        <v>1764400</v>
      </c>
      <c r="G30" s="113">
        <f>C30-E30</f>
        <v>-15300</v>
      </c>
    </row>
    <row r="31" spans="1:7" ht="18.75" thickBot="1" x14ac:dyDescent="0.3">
      <c r="B31" s="13"/>
      <c r="C31" s="110"/>
      <c r="E31" s="110"/>
      <c r="G31" s="110"/>
    </row>
    <row r="32" spans="1:7" ht="18.75" thickTop="1" x14ac:dyDescent="0.25"/>
    <row r="35" spans="1:8" ht="40.5" customHeight="1" x14ac:dyDescent="0.25">
      <c r="B35" s="224" t="s">
        <v>17</v>
      </c>
      <c r="C35" s="225"/>
      <c r="D35" s="225"/>
      <c r="E35" s="225"/>
      <c r="F35" s="225"/>
      <c r="G35" s="226"/>
    </row>
    <row r="36" spans="1:8" ht="18" customHeight="1" x14ac:dyDescent="0.25">
      <c r="B36" s="161"/>
      <c r="C36" s="161"/>
      <c r="D36" s="161"/>
      <c r="E36" s="161"/>
      <c r="F36" s="161"/>
      <c r="G36" s="161"/>
    </row>
    <row r="38" spans="1:8" x14ac:dyDescent="0.25">
      <c r="A38" s="5"/>
      <c r="B38" s="166"/>
      <c r="C38" s="104" t="s">
        <v>200</v>
      </c>
      <c r="E38" s="104" t="s">
        <v>212</v>
      </c>
      <c r="G38" s="104"/>
    </row>
    <row r="39" spans="1:8" x14ac:dyDescent="0.25">
      <c r="C39" s="105" t="s">
        <v>95</v>
      </c>
      <c r="E39" s="105" t="s">
        <v>40</v>
      </c>
      <c r="G39" s="105" t="s">
        <v>41</v>
      </c>
    </row>
    <row r="40" spans="1:8" x14ac:dyDescent="0.25">
      <c r="C40" s="106" t="s">
        <v>42</v>
      </c>
      <c r="E40" s="106" t="s">
        <v>42</v>
      </c>
      <c r="G40" s="106" t="s">
        <v>28</v>
      </c>
    </row>
    <row r="41" spans="1:8" x14ac:dyDescent="0.25">
      <c r="C41" s="23"/>
      <c r="E41" s="23"/>
      <c r="G41" s="23"/>
    </row>
    <row r="42" spans="1:8" ht="20.25" x14ac:dyDescent="0.3">
      <c r="B42" s="118" t="s">
        <v>137</v>
      </c>
      <c r="C42" s="23" t="s">
        <v>0</v>
      </c>
      <c r="E42" s="23" t="s">
        <v>0</v>
      </c>
      <c r="G42" s="23" t="s">
        <v>0</v>
      </c>
    </row>
    <row r="43" spans="1:8" x14ac:dyDescent="0.25">
      <c r="C43" s="23"/>
      <c r="E43" s="23"/>
      <c r="G43" s="23"/>
    </row>
    <row r="44" spans="1:8" x14ac:dyDescent="0.25">
      <c r="B44" s="4" t="s">
        <v>6</v>
      </c>
      <c r="C44" s="23">
        <v>104700</v>
      </c>
      <c r="E44" s="23">
        <f>104700+2300+500+300-5800+5700</f>
        <v>107700</v>
      </c>
      <c r="G44" s="23">
        <f>C44-E44</f>
        <v>-3000</v>
      </c>
      <c r="H44" s="24"/>
    </row>
    <row r="45" spans="1:8" x14ac:dyDescent="0.25">
      <c r="B45" s="4" t="s">
        <v>82</v>
      </c>
      <c r="C45" s="23">
        <v>100</v>
      </c>
      <c r="E45" s="23">
        <v>100</v>
      </c>
      <c r="G45" s="23">
        <f>C45-E45</f>
        <v>0</v>
      </c>
    </row>
    <row r="46" spans="1:8" x14ac:dyDescent="0.25">
      <c r="B46" s="4" t="s">
        <v>56</v>
      </c>
      <c r="C46" s="23">
        <v>39100</v>
      </c>
      <c r="E46" s="23">
        <f>39100+300+2200-4400</f>
        <v>37200</v>
      </c>
      <c r="G46" s="23">
        <f>C46-E46</f>
        <v>1900</v>
      </c>
    </row>
    <row r="47" spans="1:8" x14ac:dyDescent="0.25">
      <c r="B47" s="4" t="s">
        <v>57</v>
      </c>
      <c r="C47" s="23">
        <v>0</v>
      </c>
      <c r="E47" s="23">
        <v>0</v>
      </c>
      <c r="G47" s="23">
        <f>C47-E47</f>
        <v>0</v>
      </c>
    </row>
    <row r="48" spans="1:8" x14ac:dyDescent="0.25">
      <c r="B48" s="7" t="s">
        <v>182</v>
      </c>
      <c r="C48" s="112">
        <v>0</v>
      </c>
      <c r="E48" s="112">
        <v>0</v>
      </c>
      <c r="G48" s="112">
        <f>C48-E48</f>
        <v>0</v>
      </c>
    </row>
    <row r="49" spans="1:7" x14ac:dyDescent="0.25">
      <c r="A49" s="1"/>
      <c r="B49" s="1"/>
      <c r="C49" s="113"/>
      <c r="D49" s="114"/>
      <c r="E49" s="113"/>
      <c r="G49" s="113"/>
    </row>
    <row r="50" spans="1:7" x14ac:dyDescent="0.25">
      <c r="A50" s="6"/>
      <c r="B50" s="11" t="s">
        <v>67</v>
      </c>
      <c r="C50" s="23">
        <f>SUM(C43:C48)</f>
        <v>143900</v>
      </c>
      <c r="D50" s="12"/>
      <c r="E50" s="23">
        <f>SUM(E43:E48)</f>
        <v>145000</v>
      </c>
      <c r="G50" s="23">
        <f>SUM(G43:G48)</f>
        <v>-1100</v>
      </c>
    </row>
    <row r="51" spans="1:7" x14ac:dyDescent="0.25">
      <c r="C51" s="23"/>
      <c r="E51" s="23"/>
      <c r="G51" s="23"/>
    </row>
    <row r="52" spans="1:7" x14ac:dyDescent="0.25">
      <c r="B52" s="4" t="s">
        <v>26</v>
      </c>
      <c r="C52" s="23">
        <f>188000-6000</f>
        <v>182000</v>
      </c>
      <c r="E52" s="23">
        <v>182000</v>
      </c>
      <c r="G52" s="23">
        <f>E52-C52</f>
        <v>0</v>
      </c>
    </row>
    <row r="53" spans="1:7" x14ac:dyDescent="0.25">
      <c r="C53" s="112"/>
      <c r="E53" s="112"/>
      <c r="G53" s="112"/>
    </row>
    <row r="54" spans="1:7" x14ac:dyDescent="0.25">
      <c r="A54" s="1"/>
      <c r="B54" s="1"/>
      <c r="C54" s="113"/>
      <c r="D54" s="114"/>
      <c r="E54" s="113"/>
      <c r="G54" s="113"/>
    </row>
    <row r="55" spans="1:7" x14ac:dyDescent="0.25">
      <c r="A55" s="6"/>
      <c r="B55" s="11" t="s">
        <v>55</v>
      </c>
      <c r="C55" s="23">
        <f>C50-C52</f>
        <v>-38100</v>
      </c>
      <c r="D55" s="12"/>
      <c r="E55" s="23">
        <f>E50-E52</f>
        <v>-37000</v>
      </c>
      <c r="G55" s="23">
        <f>SUM(G50:G52)</f>
        <v>-1100</v>
      </c>
    </row>
    <row r="56" spans="1:7" ht="18.75" thickBot="1" x14ac:dyDescent="0.3">
      <c r="C56" s="110"/>
      <c r="E56" s="110"/>
      <c r="G56" s="110"/>
    </row>
    <row r="57" spans="1:7" ht="18.75" thickTop="1" x14ac:dyDescent="0.25">
      <c r="C57" s="113"/>
      <c r="E57" s="113"/>
      <c r="G57" s="113"/>
    </row>
    <row r="58" spans="1:7" x14ac:dyDescent="0.25">
      <c r="C58" s="113"/>
      <c r="E58" s="113"/>
      <c r="G58" s="113"/>
    </row>
    <row r="59" spans="1:7" ht="40.5" customHeight="1" x14ac:dyDescent="0.25">
      <c r="B59" s="224" t="s">
        <v>17</v>
      </c>
      <c r="C59" s="225"/>
      <c r="D59" s="225"/>
      <c r="E59" s="225"/>
      <c r="F59" s="225"/>
      <c r="G59" s="226"/>
    </row>
    <row r="61" spans="1:7" x14ac:dyDescent="0.25">
      <c r="A61" s="5"/>
      <c r="B61" s="166"/>
      <c r="C61" s="104" t="s">
        <v>200</v>
      </c>
      <c r="E61" s="104" t="s">
        <v>212</v>
      </c>
      <c r="G61" s="104"/>
    </row>
    <row r="62" spans="1:7" x14ac:dyDescent="0.25">
      <c r="C62" s="105" t="s">
        <v>95</v>
      </c>
      <c r="E62" s="105" t="s">
        <v>40</v>
      </c>
      <c r="G62" s="105" t="s">
        <v>41</v>
      </c>
    </row>
    <row r="63" spans="1:7" x14ac:dyDescent="0.25">
      <c r="C63" s="106" t="s">
        <v>42</v>
      </c>
      <c r="E63" s="106" t="s">
        <v>42</v>
      </c>
      <c r="G63" s="106" t="s">
        <v>28</v>
      </c>
    </row>
    <row r="64" spans="1:7" x14ac:dyDescent="0.25">
      <c r="C64" s="23"/>
      <c r="E64" s="23"/>
      <c r="G64" s="23"/>
    </row>
    <row r="65" spans="1:8" ht="20.25" x14ac:dyDescent="0.3">
      <c r="B65" s="118" t="s">
        <v>138</v>
      </c>
      <c r="C65" s="23" t="s">
        <v>0</v>
      </c>
      <c r="E65" s="23" t="s">
        <v>0</v>
      </c>
      <c r="G65" s="23" t="s">
        <v>0</v>
      </c>
    </row>
    <row r="66" spans="1:8" x14ac:dyDescent="0.25">
      <c r="C66" s="23"/>
      <c r="E66" s="23"/>
      <c r="G66" s="23"/>
    </row>
    <row r="67" spans="1:8" x14ac:dyDescent="0.25">
      <c r="B67" s="4" t="s">
        <v>6</v>
      </c>
      <c r="C67" s="23">
        <v>171900</v>
      </c>
      <c r="E67" s="23">
        <f>171900+8200-7100+7300</f>
        <v>180300</v>
      </c>
      <c r="G67" s="24">
        <f>C67-E67</f>
        <v>-8400</v>
      </c>
      <c r="H67" s="24"/>
    </row>
    <row r="68" spans="1:8" x14ac:dyDescent="0.25">
      <c r="B68" s="4" t="s">
        <v>82</v>
      </c>
      <c r="C68" s="23">
        <v>500</v>
      </c>
      <c r="E68" s="23">
        <v>500</v>
      </c>
      <c r="G68" s="24">
        <f>C68-E68</f>
        <v>0</v>
      </c>
    </row>
    <row r="69" spans="1:8" x14ac:dyDescent="0.25">
      <c r="B69" s="4" t="s">
        <v>56</v>
      </c>
      <c r="C69" s="23">
        <v>79200</v>
      </c>
      <c r="E69" s="23">
        <f>79200+700-1300</f>
        <v>78600</v>
      </c>
      <c r="G69" s="24">
        <f>C69-E69</f>
        <v>600</v>
      </c>
    </row>
    <row r="70" spans="1:8" x14ac:dyDescent="0.25">
      <c r="B70" s="7"/>
      <c r="C70" s="112"/>
      <c r="E70" s="112"/>
    </row>
    <row r="71" spans="1:8" x14ac:dyDescent="0.25">
      <c r="A71" s="1"/>
      <c r="B71" s="1"/>
      <c r="C71" s="113"/>
      <c r="D71" s="114"/>
      <c r="E71" s="113"/>
      <c r="G71" s="205"/>
    </row>
    <row r="72" spans="1:8" x14ac:dyDescent="0.25">
      <c r="A72" s="6"/>
      <c r="B72" s="11" t="s">
        <v>67</v>
      </c>
      <c r="C72" s="23">
        <f>SUM(C67:C70)</f>
        <v>251600</v>
      </c>
      <c r="D72" s="12"/>
      <c r="E72" s="23">
        <f>SUM(E67:E70)</f>
        <v>259400</v>
      </c>
      <c r="G72" s="23">
        <f>SUM(G67:G71)</f>
        <v>-7800</v>
      </c>
    </row>
    <row r="73" spans="1:8" x14ac:dyDescent="0.25">
      <c r="A73" s="6"/>
      <c r="B73" s="11"/>
      <c r="C73" s="23"/>
      <c r="D73" s="12"/>
      <c r="E73" s="23"/>
      <c r="G73" s="23"/>
    </row>
    <row r="74" spans="1:8" x14ac:dyDescent="0.25">
      <c r="B74" s="4" t="s">
        <v>26</v>
      </c>
      <c r="C74" s="113">
        <v>2000</v>
      </c>
      <c r="D74" s="114"/>
      <c r="E74" s="113">
        <f>2000+300</f>
        <v>2300</v>
      </c>
      <c r="F74" s="114"/>
      <c r="G74" s="24">
        <f>E74-C74</f>
        <v>300</v>
      </c>
    </row>
    <row r="75" spans="1:8" x14ac:dyDescent="0.25">
      <c r="C75" s="112"/>
      <c r="E75" s="112"/>
      <c r="G75" s="112"/>
    </row>
    <row r="76" spans="1:8" x14ac:dyDescent="0.25">
      <c r="A76" s="1"/>
      <c r="B76" s="1"/>
      <c r="C76" s="113"/>
      <c r="D76" s="114"/>
      <c r="E76" s="113"/>
      <c r="G76" s="113"/>
    </row>
    <row r="77" spans="1:8" x14ac:dyDescent="0.25">
      <c r="A77" s="6"/>
      <c r="B77" s="11" t="s">
        <v>55</v>
      </c>
      <c r="C77" s="23">
        <f>C72-C74</f>
        <v>249600</v>
      </c>
      <c r="D77" s="12"/>
      <c r="E77" s="23">
        <f>E72-E74</f>
        <v>257100</v>
      </c>
      <c r="G77" s="23">
        <f>G72+G74</f>
        <v>-7500</v>
      </c>
    </row>
    <row r="78" spans="1:8" ht="18.75" thickBot="1" x14ac:dyDescent="0.3">
      <c r="C78" s="195"/>
      <c r="E78" s="195"/>
      <c r="G78" s="195"/>
    </row>
    <row r="79" spans="1:8" ht="18.75" thickTop="1" x14ac:dyDescent="0.25">
      <c r="C79" s="23"/>
      <c r="E79" s="23"/>
      <c r="G79" s="23"/>
    </row>
    <row r="81" spans="1:7" x14ac:dyDescent="0.25">
      <c r="A81" s="5"/>
      <c r="B81" s="166"/>
      <c r="C81" s="104" t="s">
        <v>200</v>
      </c>
      <c r="E81" s="104" t="s">
        <v>212</v>
      </c>
      <c r="G81" s="104"/>
    </row>
    <row r="82" spans="1:7" x14ac:dyDescent="0.25">
      <c r="C82" s="105" t="s">
        <v>95</v>
      </c>
      <c r="E82" s="105" t="s">
        <v>40</v>
      </c>
      <c r="G82" s="105" t="s">
        <v>41</v>
      </c>
    </row>
    <row r="83" spans="1:7" x14ac:dyDescent="0.25">
      <c r="B83" s="3"/>
      <c r="C83" s="106" t="s">
        <v>42</v>
      </c>
      <c r="E83" s="106" t="s">
        <v>42</v>
      </c>
      <c r="G83" s="106" t="s">
        <v>28</v>
      </c>
    </row>
    <row r="84" spans="1:7" x14ac:dyDescent="0.25">
      <c r="C84" s="23"/>
      <c r="E84" s="23"/>
      <c r="G84" s="23"/>
    </row>
    <row r="85" spans="1:7" ht="20.25" x14ac:dyDescent="0.3">
      <c r="B85" s="118" t="s">
        <v>139</v>
      </c>
      <c r="C85" s="23" t="s">
        <v>0</v>
      </c>
      <c r="E85" s="23" t="s">
        <v>0</v>
      </c>
      <c r="G85" s="23" t="s">
        <v>0</v>
      </c>
    </row>
    <row r="86" spans="1:7" x14ac:dyDescent="0.25">
      <c r="C86" s="23"/>
      <c r="E86" s="23"/>
      <c r="G86" s="23"/>
    </row>
    <row r="87" spans="1:7" x14ac:dyDescent="0.25">
      <c r="B87" s="4" t="s">
        <v>6</v>
      </c>
      <c r="C87" s="23">
        <v>0</v>
      </c>
      <c r="E87" s="23">
        <f>89600-89600</f>
        <v>0</v>
      </c>
      <c r="G87" s="24">
        <f>C87-E87</f>
        <v>0</v>
      </c>
    </row>
    <row r="88" spans="1:7" x14ac:dyDescent="0.25">
      <c r="B88" s="4" t="s">
        <v>83</v>
      </c>
      <c r="C88" s="23">
        <v>0</v>
      </c>
      <c r="E88" s="23">
        <f>13200-13200</f>
        <v>0</v>
      </c>
      <c r="G88" s="24">
        <f>C88-E88</f>
        <v>0</v>
      </c>
    </row>
    <row r="89" spans="1:7" x14ac:dyDescent="0.25">
      <c r="B89" s="4" t="s">
        <v>25</v>
      </c>
      <c r="C89" s="23">
        <v>0</v>
      </c>
      <c r="E89" s="23">
        <f>5100-5100</f>
        <v>0</v>
      </c>
      <c r="G89" s="24">
        <f>C89-E89</f>
        <v>0</v>
      </c>
    </row>
    <row r="90" spans="1:7" x14ac:dyDescent="0.25">
      <c r="B90" s="4" t="s">
        <v>56</v>
      </c>
      <c r="C90" s="113">
        <v>14200</v>
      </c>
      <c r="D90" s="102"/>
      <c r="E90" s="113">
        <f>14200-1100</f>
        <v>13100</v>
      </c>
      <c r="G90" s="24">
        <f>C90-E90</f>
        <v>1100</v>
      </c>
    </row>
    <row r="91" spans="1:7" x14ac:dyDescent="0.25">
      <c r="B91" s="4" t="s">
        <v>146</v>
      </c>
      <c r="C91" s="113">
        <v>43000</v>
      </c>
      <c r="D91" s="114"/>
      <c r="E91" s="113">
        <f>43000+32000</f>
        <v>75000</v>
      </c>
      <c r="F91" s="114"/>
      <c r="G91" s="102">
        <f>C91-E91</f>
        <v>-32000</v>
      </c>
    </row>
    <row r="92" spans="1:7" x14ac:dyDescent="0.25">
      <c r="C92" s="112"/>
      <c r="E92" s="112"/>
      <c r="G92" s="128"/>
    </row>
    <row r="93" spans="1:7" x14ac:dyDescent="0.25">
      <c r="A93" s="1"/>
      <c r="B93" s="1"/>
      <c r="C93" s="113"/>
      <c r="D93" s="114"/>
      <c r="E93" s="113"/>
      <c r="G93" s="113"/>
    </row>
    <row r="94" spans="1:7" x14ac:dyDescent="0.25">
      <c r="A94" s="6"/>
      <c r="B94" s="11" t="s">
        <v>67</v>
      </c>
      <c r="C94" s="23">
        <f>SUM(C86:C91)</f>
        <v>57200</v>
      </c>
      <c r="D94" s="12"/>
      <c r="E94" s="23">
        <f>SUM(E86:E91)</f>
        <v>88100</v>
      </c>
      <c r="G94" s="23">
        <f>SUM(G86:G90)</f>
        <v>1100</v>
      </c>
    </row>
    <row r="95" spans="1:7" x14ac:dyDescent="0.25">
      <c r="B95" s="9"/>
      <c r="C95" s="23"/>
      <c r="E95" s="23"/>
      <c r="G95" s="23"/>
    </row>
    <row r="96" spans="1:7" x14ac:dyDescent="0.25">
      <c r="B96" s="9" t="s">
        <v>59</v>
      </c>
      <c r="C96" s="23">
        <v>0</v>
      </c>
      <c r="E96" s="23">
        <f>124400-124400</f>
        <v>0</v>
      </c>
      <c r="G96" s="23">
        <f>E96-C96</f>
        <v>0</v>
      </c>
    </row>
    <row r="97" spans="1:15" x14ac:dyDescent="0.25">
      <c r="C97" s="103"/>
      <c r="E97" s="103"/>
      <c r="G97" s="103"/>
    </row>
    <row r="98" spans="1:15" x14ac:dyDescent="0.25">
      <c r="B98" s="13"/>
      <c r="C98" s="157"/>
      <c r="E98" s="157"/>
      <c r="G98" s="157"/>
    </row>
    <row r="99" spans="1:15" x14ac:dyDescent="0.25">
      <c r="B99" s="11" t="s">
        <v>55</v>
      </c>
      <c r="C99" s="23">
        <f>C94-C96</f>
        <v>57200</v>
      </c>
      <c r="E99" s="23">
        <f>E94-E96</f>
        <v>88100</v>
      </c>
      <c r="G99" s="23">
        <f>C99-E99</f>
        <v>-30900</v>
      </c>
    </row>
    <row r="100" spans="1:15" ht="18.75" thickBot="1" x14ac:dyDescent="0.3">
      <c r="C100" s="110"/>
      <c r="E100" s="110"/>
      <c r="G100" s="110"/>
    </row>
    <row r="101" spans="1:15" ht="18.75" thickTop="1" x14ac:dyDescent="0.25">
      <c r="C101" s="23"/>
      <c r="E101" s="23"/>
      <c r="G101" s="23"/>
    </row>
    <row r="103" spans="1:15" ht="39.75" customHeight="1" x14ac:dyDescent="0.25">
      <c r="A103" s="14"/>
      <c r="B103" s="224" t="s">
        <v>17</v>
      </c>
      <c r="C103" s="225"/>
      <c r="D103" s="225"/>
      <c r="E103" s="225"/>
      <c r="F103" s="225"/>
      <c r="G103" s="226"/>
    </row>
    <row r="104" spans="1:15" x14ac:dyDescent="0.25">
      <c r="I104" s="1"/>
      <c r="J104" s="1"/>
      <c r="K104" s="1"/>
      <c r="L104" s="1"/>
      <c r="M104" s="1"/>
      <c r="N104" s="1"/>
      <c r="O104" s="1"/>
    </row>
    <row r="105" spans="1:15" x14ac:dyDescent="0.25">
      <c r="I105" s="1"/>
      <c r="J105" s="1"/>
      <c r="K105" s="1"/>
      <c r="L105" s="1"/>
      <c r="M105" s="1"/>
      <c r="N105" s="1"/>
      <c r="O105" s="1"/>
    </row>
    <row r="106" spans="1:15" x14ac:dyDescent="0.25">
      <c r="A106" s="5"/>
      <c r="B106" s="166"/>
      <c r="C106" s="104" t="s">
        <v>200</v>
      </c>
      <c r="E106" s="104" t="s">
        <v>212</v>
      </c>
      <c r="G106" s="104"/>
      <c r="I106" s="1"/>
      <c r="J106" s="1"/>
      <c r="K106" s="1"/>
      <c r="L106" s="1"/>
      <c r="M106" s="1"/>
      <c r="N106" s="1"/>
      <c r="O106" s="1"/>
    </row>
    <row r="107" spans="1:15" x14ac:dyDescent="0.25">
      <c r="C107" s="105" t="s">
        <v>95</v>
      </c>
      <c r="E107" s="105" t="s">
        <v>40</v>
      </c>
      <c r="G107" s="105" t="s">
        <v>41</v>
      </c>
      <c r="I107" s="1"/>
      <c r="J107" s="1"/>
      <c r="K107" s="1"/>
      <c r="L107" s="1"/>
      <c r="M107" s="1"/>
      <c r="N107" s="1"/>
      <c r="O107" s="1"/>
    </row>
    <row r="108" spans="1:15" x14ac:dyDescent="0.25">
      <c r="C108" s="106" t="s">
        <v>42</v>
      </c>
      <c r="E108" s="106" t="s">
        <v>42</v>
      </c>
      <c r="G108" s="106" t="s">
        <v>28</v>
      </c>
      <c r="I108" s="1"/>
      <c r="J108" s="1"/>
      <c r="K108" s="1"/>
      <c r="L108" s="1"/>
      <c r="M108" s="1"/>
      <c r="N108" s="1"/>
      <c r="O108" s="1"/>
    </row>
    <row r="109" spans="1:15" x14ac:dyDescent="0.25">
      <c r="C109" s="23"/>
      <c r="E109" s="23"/>
      <c r="G109" s="23"/>
      <c r="I109" s="1"/>
      <c r="J109" s="181"/>
      <c r="K109" s="114"/>
      <c r="L109" s="181"/>
      <c r="M109" s="1"/>
      <c r="N109" s="1"/>
      <c r="O109" s="1"/>
    </row>
    <row r="110" spans="1:15" ht="20.25" x14ac:dyDescent="0.3">
      <c r="B110" s="118" t="s">
        <v>140</v>
      </c>
      <c r="C110" s="23" t="s">
        <v>0</v>
      </c>
      <c r="E110" s="23" t="s">
        <v>0</v>
      </c>
      <c r="G110" s="23" t="s">
        <v>0</v>
      </c>
      <c r="I110" s="1"/>
      <c r="J110" s="141"/>
      <c r="K110" s="114"/>
      <c r="L110" s="141"/>
      <c r="M110" s="1"/>
      <c r="N110" s="1"/>
      <c r="O110" s="1"/>
    </row>
    <row r="111" spans="1:15" x14ac:dyDescent="0.25">
      <c r="C111" s="23"/>
      <c r="E111" s="23"/>
      <c r="G111" s="23"/>
      <c r="I111" s="1"/>
      <c r="J111" s="141"/>
      <c r="K111" s="114"/>
      <c r="L111" s="141"/>
      <c r="M111" s="1"/>
      <c r="N111" s="1"/>
      <c r="O111" s="1"/>
    </row>
    <row r="112" spans="1:15" x14ac:dyDescent="0.25">
      <c r="B112" s="4" t="s">
        <v>6</v>
      </c>
      <c r="C112" s="12">
        <v>636000</v>
      </c>
      <c r="D112" s="12"/>
      <c r="E112" s="12">
        <f>636000-54600-8800-5000+1300-36700+24200</f>
        <v>556400</v>
      </c>
      <c r="G112" s="103">
        <f>C112-E112</f>
        <v>79600</v>
      </c>
      <c r="H112" s="24"/>
      <c r="I112" s="1"/>
      <c r="J112" s="1"/>
      <c r="K112" s="1"/>
      <c r="L112" s="1"/>
      <c r="M112" s="1"/>
      <c r="N112" s="1"/>
      <c r="O112" s="1"/>
    </row>
    <row r="113" spans="1:15" x14ac:dyDescent="0.25">
      <c r="B113" s="4" t="s">
        <v>25</v>
      </c>
      <c r="C113" s="113">
        <v>400</v>
      </c>
      <c r="D113" s="114"/>
      <c r="E113" s="113">
        <v>400</v>
      </c>
      <c r="F113" s="114"/>
      <c r="G113" s="103">
        <f>C113-E113</f>
        <v>0</v>
      </c>
      <c r="I113" s="1"/>
      <c r="J113" s="1"/>
      <c r="K113" s="1"/>
      <c r="L113" s="1"/>
      <c r="M113" s="1"/>
      <c r="N113" s="1"/>
      <c r="O113" s="1"/>
    </row>
    <row r="114" spans="1:15" x14ac:dyDescent="0.25">
      <c r="B114" s="4" t="s">
        <v>56</v>
      </c>
      <c r="C114" s="113">
        <v>44300</v>
      </c>
      <c r="D114" s="114"/>
      <c r="E114" s="113">
        <f>44300+1200-500-900+100+600-6800</f>
        <v>38000</v>
      </c>
      <c r="F114" s="114"/>
      <c r="G114" s="103">
        <f>C114-E114</f>
        <v>6300</v>
      </c>
      <c r="I114" s="1"/>
      <c r="J114" s="1"/>
      <c r="K114" s="1"/>
      <c r="L114" s="1"/>
      <c r="M114" s="1"/>
      <c r="N114" s="1"/>
      <c r="O114" s="1"/>
    </row>
    <row r="115" spans="1:15" x14ac:dyDescent="0.25">
      <c r="B115" s="4" t="s">
        <v>57</v>
      </c>
      <c r="C115" s="113">
        <v>0</v>
      </c>
      <c r="D115" s="114"/>
      <c r="E115" s="113">
        <v>52700</v>
      </c>
      <c r="F115" s="114"/>
      <c r="G115" s="103">
        <f>C115-E115</f>
        <v>-52700</v>
      </c>
      <c r="I115" s="1"/>
      <c r="J115" s="1"/>
      <c r="K115" s="1"/>
      <c r="L115" s="1"/>
      <c r="M115" s="1"/>
      <c r="N115" s="1"/>
      <c r="O115" s="1"/>
    </row>
    <row r="116" spans="1:15" x14ac:dyDescent="0.25">
      <c r="B116" s="7"/>
      <c r="C116" s="112"/>
      <c r="E116" s="112"/>
      <c r="G116" s="126"/>
      <c r="I116" s="1"/>
      <c r="J116" s="1"/>
      <c r="K116" s="1"/>
      <c r="L116" s="1"/>
      <c r="M116" s="1"/>
      <c r="N116" s="1"/>
      <c r="O116" s="1"/>
    </row>
    <row r="117" spans="1:15" x14ac:dyDescent="0.25">
      <c r="A117" s="1"/>
      <c r="B117" s="1"/>
      <c r="C117" s="113"/>
      <c r="E117" s="113"/>
      <c r="G117" s="113"/>
      <c r="I117" s="1"/>
      <c r="J117" s="1"/>
      <c r="K117" s="1"/>
      <c r="L117" s="1"/>
      <c r="M117" s="1"/>
      <c r="N117" s="1"/>
      <c r="O117" s="1"/>
    </row>
    <row r="118" spans="1:15" x14ac:dyDescent="0.25">
      <c r="A118" s="6"/>
      <c r="B118" s="11" t="s">
        <v>67</v>
      </c>
      <c r="C118" s="23">
        <f>SUM(C112:C115)</f>
        <v>680700</v>
      </c>
      <c r="E118" s="23">
        <f>SUM(E112:E116)</f>
        <v>647500</v>
      </c>
      <c r="G118" s="23">
        <f>SUM(G112:G115)</f>
        <v>33200</v>
      </c>
      <c r="I118" s="1"/>
      <c r="J118" s="1"/>
      <c r="K118" s="1"/>
      <c r="L118" s="1"/>
      <c r="M118" s="1"/>
      <c r="N118" s="1"/>
      <c r="O118" s="1"/>
    </row>
    <row r="119" spans="1:15" x14ac:dyDescent="0.25">
      <c r="I119" s="1"/>
      <c r="J119" s="1"/>
      <c r="K119" s="1"/>
      <c r="L119" s="1"/>
      <c r="M119" s="1"/>
      <c r="N119" s="1"/>
      <c r="O119" s="1"/>
    </row>
    <row r="120" spans="1:15" x14ac:dyDescent="0.25">
      <c r="B120" s="4" t="s">
        <v>26</v>
      </c>
      <c r="C120" s="113">
        <v>45000</v>
      </c>
      <c r="E120" s="113">
        <v>45000</v>
      </c>
      <c r="G120" s="102">
        <f>E120-C120</f>
        <v>0</v>
      </c>
    </row>
    <row r="121" spans="1:15" x14ac:dyDescent="0.25">
      <c r="B121" s="4" t="s">
        <v>59</v>
      </c>
      <c r="C121" s="113">
        <v>61000</v>
      </c>
      <c r="D121" s="114"/>
      <c r="E121" s="113">
        <f>61000+11800</f>
        <v>72800</v>
      </c>
      <c r="F121" s="114"/>
      <c r="G121" s="102">
        <f>E121-C121</f>
        <v>11800</v>
      </c>
    </row>
    <row r="122" spans="1:15" x14ac:dyDescent="0.25">
      <c r="C122" s="112"/>
      <c r="E122" s="112"/>
      <c r="G122" s="112"/>
    </row>
    <row r="123" spans="1:15" x14ac:dyDescent="0.25">
      <c r="C123" s="23"/>
      <c r="E123" s="23"/>
      <c r="G123" s="23"/>
    </row>
    <row r="124" spans="1:15" x14ac:dyDescent="0.25">
      <c r="A124" s="1"/>
      <c r="B124" s="11" t="s">
        <v>55</v>
      </c>
      <c r="C124" s="113">
        <f>C118-C121-C120-C122</f>
        <v>574700</v>
      </c>
      <c r="E124" s="113">
        <f>E118-E121-E120-E122</f>
        <v>529700</v>
      </c>
      <c r="G124" s="113">
        <f>SUM(G118:G121)</f>
        <v>45000</v>
      </c>
    </row>
    <row r="125" spans="1:15" ht="18.75" thickBot="1" x14ac:dyDescent="0.3">
      <c r="A125" s="1"/>
      <c r="B125" s="1"/>
      <c r="C125" s="110"/>
      <c r="E125" s="110"/>
      <c r="G125" s="110"/>
    </row>
    <row r="126" spans="1:15" ht="18.75" thickTop="1" x14ac:dyDescent="0.25">
      <c r="C126" s="23"/>
      <c r="E126" s="23"/>
      <c r="G126" s="23"/>
    </row>
    <row r="128" spans="1:15" x14ac:dyDescent="0.25">
      <c r="C128" s="113"/>
      <c r="E128" s="113"/>
      <c r="G128" s="113"/>
    </row>
    <row r="129" spans="1:8" ht="40.5" customHeight="1" x14ac:dyDescent="0.35">
      <c r="A129" s="162"/>
      <c r="B129" s="224" t="s">
        <v>17</v>
      </c>
      <c r="C129" s="225"/>
      <c r="D129" s="225"/>
      <c r="E129" s="225"/>
      <c r="F129" s="225"/>
      <c r="G129" s="226"/>
    </row>
    <row r="130" spans="1:8" ht="21.75" customHeight="1" x14ac:dyDescent="0.35">
      <c r="A130" s="162"/>
      <c r="B130" s="161"/>
      <c r="C130" s="161"/>
      <c r="D130" s="161"/>
      <c r="E130" s="161"/>
      <c r="F130" s="161"/>
      <c r="G130" s="161"/>
    </row>
    <row r="132" spans="1:8" x14ac:dyDescent="0.25">
      <c r="A132" s="5"/>
      <c r="B132" s="166"/>
      <c r="C132" s="104" t="s">
        <v>200</v>
      </c>
      <c r="E132" s="104" t="s">
        <v>212</v>
      </c>
      <c r="G132" s="104"/>
    </row>
    <row r="133" spans="1:8" x14ac:dyDescent="0.25">
      <c r="C133" s="105" t="s">
        <v>95</v>
      </c>
      <c r="E133" s="105" t="s">
        <v>40</v>
      </c>
      <c r="G133" s="105" t="s">
        <v>41</v>
      </c>
    </row>
    <row r="134" spans="1:8" x14ac:dyDescent="0.25">
      <c r="C134" s="106" t="s">
        <v>42</v>
      </c>
      <c r="E134" s="106" t="s">
        <v>42</v>
      </c>
      <c r="G134" s="106" t="s">
        <v>28</v>
      </c>
    </row>
    <row r="135" spans="1:8" x14ac:dyDescent="0.25">
      <c r="C135" s="23"/>
      <c r="E135" s="23"/>
      <c r="G135" s="23"/>
    </row>
    <row r="136" spans="1:8" ht="20.25" x14ac:dyDescent="0.3">
      <c r="B136" s="118" t="s">
        <v>141</v>
      </c>
      <c r="C136" s="23" t="s">
        <v>0</v>
      </c>
      <c r="E136" s="23" t="s">
        <v>0</v>
      </c>
      <c r="G136" s="23" t="s">
        <v>0</v>
      </c>
    </row>
    <row r="138" spans="1:8" x14ac:dyDescent="0.25">
      <c r="B138" s="9" t="s">
        <v>149</v>
      </c>
      <c r="C138" s="23">
        <v>5600</v>
      </c>
      <c r="E138" s="23">
        <v>5600</v>
      </c>
      <c r="G138" s="24">
        <f>C138-E138</f>
        <v>0</v>
      </c>
    </row>
    <row r="139" spans="1:8" x14ac:dyDescent="0.25">
      <c r="B139" s="4" t="s">
        <v>150</v>
      </c>
      <c r="C139" s="23">
        <v>3000</v>
      </c>
      <c r="E139" s="23">
        <f>4000-1000</f>
        <v>3000</v>
      </c>
      <c r="G139" s="24">
        <f t="shared" ref="G139:G146" si="1">C139-E139</f>
        <v>0</v>
      </c>
    </row>
    <row r="140" spans="1:8" x14ac:dyDescent="0.25">
      <c r="B140" s="4" t="s">
        <v>148</v>
      </c>
      <c r="C140" s="23">
        <v>9200</v>
      </c>
      <c r="E140" s="23">
        <f>7700+300+1200+600</f>
        <v>9800</v>
      </c>
      <c r="G140" s="24">
        <f t="shared" si="1"/>
        <v>-600</v>
      </c>
    </row>
    <row r="141" spans="1:8" x14ac:dyDescent="0.25">
      <c r="B141" s="4" t="s">
        <v>147</v>
      </c>
      <c r="C141" s="113">
        <v>26400</v>
      </c>
      <c r="D141" s="114"/>
      <c r="E141" s="113">
        <f>23900+2500</f>
        <v>26400</v>
      </c>
      <c r="F141" s="114"/>
      <c r="G141" s="24">
        <f t="shared" si="1"/>
        <v>0</v>
      </c>
      <c r="H141" s="114"/>
    </row>
    <row r="142" spans="1:8" x14ac:dyDescent="0.25">
      <c r="C142" s="112"/>
      <c r="D142" s="114"/>
      <c r="E142" s="112"/>
      <c r="F142" s="114"/>
      <c r="G142" s="128"/>
      <c r="H142" s="114"/>
    </row>
    <row r="143" spans="1:8" x14ac:dyDescent="0.25">
      <c r="C143" s="113"/>
      <c r="D143" s="114"/>
      <c r="E143" s="113"/>
      <c r="F143" s="114"/>
      <c r="H143" s="114"/>
    </row>
    <row r="144" spans="1:8" x14ac:dyDescent="0.25">
      <c r="B144" s="11" t="s">
        <v>67</v>
      </c>
      <c r="C144" s="113">
        <f>SUM(C138:C142)</f>
        <v>44200</v>
      </c>
      <c r="D144" s="114"/>
      <c r="E144" s="113">
        <f>SUM(E138:E142)</f>
        <v>44800</v>
      </c>
      <c r="F144" s="114"/>
      <c r="G144" s="24">
        <f t="shared" si="1"/>
        <v>-600</v>
      </c>
      <c r="H144" s="113"/>
    </row>
    <row r="145" spans="2:8" x14ac:dyDescent="0.25">
      <c r="C145" s="113"/>
      <c r="D145" s="114"/>
      <c r="E145" s="113"/>
      <c r="F145" s="114"/>
      <c r="H145" s="114"/>
    </row>
    <row r="146" spans="2:8" x14ac:dyDescent="0.25">
      <c r="B146" s="4" t="s">
        <v>26</v>
      </c>
      <c r="C146" s="113">
        <v>2500</v>
      </c>
      <c r="D146" s="114"/>
      <c r="E146" s="113">
        <f>4000-1500</f>
        <v>2500</v>
      </c>
      <c r="F146" s="114"/>
      <c r="G146" s="24">
        <f t="shared" si="1"/>
        <v>0</v>
      </c>
      <c r="H146" s="114"/>
    </row>
    <row r="147" spans="2:8" x14ac:dyDescent="0.25">
      <c r="C147" s="112"/>
      <c r="E147" s="112"/>
      <c r="G147" s="112"/>
    </row>
    <row r="148" spans="2:8" s="1" customFormat="1" x14ac:dyDescent="0.25">
      <c r="C148" s="113"/>
      <c r="D148" s="114"/>
      <c r="E148" s="113"/>
      <c r="F148" s="114"/>
      <c r="G148" s="113"/>
      <c r="H148" s="114"/>
    </row>
    <row r="149" spans="2:8" ht="20.25" customHeight="1" x14ac:dyDescent="0.25">
      <c r="B149" s="11" t="s">
        <v>55</v>
      </c>
      <c r="C149" s="23">
        <f>C144-C146</f>
        <v>41700</v>
      </c>
      <c r="E149" s="23">
        <f>E144-E146</f>
        <v>42300</v>
      </c>
      <c r="G149" s="23">
        <f>G144-G146</f>
        <v>-600</v>
      </c>
    </row>
    <row r="150" spans="2:8" ht="18.75" thickBot="1" x14ac:dyDescent="0.3">
      <c r="C150" s="116"/>
      <c r="E150" s="116"/>
      <c r="G150" s="116"/>
    </row>
    <row r="151" spans="2:8" ht="18.75" thickTop="1" x14ac:dyDescent="0.25">
      <c r="C151" s="102"/>
      <c r="E151" s="102"/>
      <c r="G151" s="102"/>
    </row>
    <row r="152" spans="2:8" ht="19.5" customHeight="1" x14ac:dyDescent="0.25">
      <c r="C152" s="102"/>
      <c r="E152" s="102"/>
      <c r="G152" s="102"/>
    </row>
    <row r="153" spans="2:8" ht="19.5" customHeight="1" x14ac:dyDescent="0.25">
      <c r="C153" s="104" t="s">
        <v>200</v>
      </c>
      <c r="E153" s="104" t="s">
        <v>212</v>
      </c>
      <c r="G153" s="104"/>
    </row>
    <row r="154" spans="2:8" ht="19.5" customHeight="1" x14ac:dyDescent="0.25">
      <c r="C154" s="105" t="s">
        <v>95</v>
      </c>
      <c r="E154" s="105" t="s">
        <v>40</v>
      </c>
      <c r="G154" s="105" t="s">
        <v>41</v>
      </c>
    </row>
    <row r="155" spans="2:8" ht="19.5" customHeight="1" x14ac:dyDescent="0.25">
      <c r="C155" s="106" t="s">
        <v>42</v>
      </c>
      <c r="E155" s="106" t="s">
        <v>42</v>
      </c>
      <c r="G155" s="106" t="s">
        <v>28</v>
      </c>
    </row>
    <row r="156" spans="2:8" x14ac:dyDescent="0.25">
      <c r="C156" s="23"/>
      <c r="E156" s="23"/>
      <c r="G156" s="23"/>
    </row>
    <row r="157" spans="2:8" ht="20.25" x14ac:dyDescent="0.3">
      <c r="B157" s="118" t="s">
        <v>142</v>
      </c>
      <c r="C157" s="23" t="s">
        <v>0</v>
      </c>
      <c r="E157" s="23" t="s">
        <v>0</v>
      </c>
      <c r="G157" s="23" t="s">
        <v>0</v>
      </c>
    </row>
    <row r="158" spans="2:8" x14ac:dyDescent="0.25">
      <c r="C158" s="23"/>
      <c r="E158" s="23"/>
      <c r="G158" s="23"/>
    </row>
    <row r="159" spans="2:8" x14ac:dyDescent="0.25">
      <c r="B159" s="4" t="s">
        <v>83</v>
      </c>
      <c r="C159" s="23">
        <v>1000</v>
      </c>
      <c r="E159" s="23">
        <v>1000</v>
      </c>
      <c r="G159" s="24">
        <f>C159-E159</f>
        <v>0</v>
      </c>
    </row>
    <row r="160" spans="2:8" x14ac:dyDescent="0.25">
      <c r="B160" s="4" t="s">
        <v>56</v>
      </c>
      <c r="C160" s="113">
        <v>300</v>
      </c>
      <c r="D160" s="114"/>
      <c r="E160" s="113">
        <v>300</v>
      </c>
      <c r="F160" s="114"/>
      <c r="G160" s="24">
        <f>C160-E160</f>
        <v>0</v>
      </c>
    </row>
    <row r="161" spans="2:8" x14ac:dyDescent="0.25">
      <c r="C161" s="112"/>
      <c r="E161" s="112"/>
      <c r="G161" s="112"/>
    </row>
    <row r="162" spans="2:8" s="1" customFormat="1" x14ac:dyDescent="0.25">
      <c r="C162" s="113"/>
      <c r="D162" s="114"/>
      <c r="E162" s="113"/>
      <c r="F162" s="114"/>
      <c r="G162" s="113"/>
      <c r="H162" s="114"/>
    </row>
    <row r="163" spans="2:8" x14ac:dyDescent="0.25">
      <c r="B163" s="11" t="s">
        <v>55</v>
      </c>
      <c r="C163" s="23">
        <f>SUM(C159:C160)</f>
        <v>1300</v>
      </c>
      <c r="E163" s="23">
        <f>SUM(E159:E160)</f>
        <v>1300</v>
      </c>
      <c r="G163" s="23">
        <f>SUM(G159:G160)</f>
        <v>0</v>
      </c>
    </row>
    <row r="164" spans="2:8" ht="18.75" thickBot="1" x14ac:dyDescent="0.3">
      <c r="C164" s="116"/>
      <c r="E164" s="116"/>
      <c r="G164" s="116"/>
    </row>
    <row r="165" spans="2:8" ht="18.75" thickTop="1" x14ac:dyDescent="0.25">
      <c r="C165" s="102"/>
      <c r="E165" s="102"/>
      <c r="G165" s="102"/>
    </row>
    <row r="166" spans="2:8" x14ac:dyDescent="0.25">
      <c r="C166" s="102"/>
      <c r="E166" s="102"/>
      <c r="G166" s="102"/>
    </row>
    <row r="167" spans="2:8" x14ac:dyDescent="0.25">
      <c r="C167" s="104" t="s">
        <v>200</v>
      </c>
      <c r="E167" s="104" t="s">
        <v>212</v>
      </c>
      <c r="G167" s="104"/>
    </row>
    <row r="168" spans="2:8" x14ac:dyDescent="0.25">
      <c r="C168" s="105" t="s">
        <v>95</v>
      </c>
      <c r="E168" s="105" t="s">
        <v>40</v>
      </c>
      <c r="G168" s="105" t="s">
        <v>41</v>
      </c>
    </row>
    <row r="169" spans="2:8" x14ac:dyDescent="0.25">
      <c r="C169" s="106" t="s">
        <v>42</v>
      </c>
      <c r="E169" s="106" t="s">
        <v>42</v>
      </c>
      <c r="G169" s="106" t="s">
        <v>28</v>
      </c>
    </row>
    <row r="170" spans="2:8" x14ac:dyDescent="0.25">
      <c r="C170" s="23"/>
      <c r="E170" s="23"/>
      <c r="G170" s="23"/>
    </row>
    <row r="171" spans="2:8" ht="20.25" x14ac:dyDescent="0.3">
      <c r="B171" s="118" t="s">
        <v>143</v>
      </c>
      <c r="C171" s="23" t="s">
        <v>0</v>
      </c>
      <c r="E171" s="23" t="s">
        <v>0</v>
      </c>
      <c r="G171" s="23" t="s">
        <v>0</v>
      </c>
    </row>
    <row r="172" spans="2:8" x14ac:dyDescent="0.25">
      <c r="C172" s="102"/>
      <c r="E172" s="102"/>
      <c r="G172" s="102"/>
    </row>
    <row r="173" spans="2:8" x14ac:dyDescent="0.25">
      <c r="B173" s="4" t="s">
        <v>171</v>
      </c>
      <c r="C173" s="113">
        <v>16800</v>
      </c>
      <c r="E173" s="113">
        <f>16800+5500</f>
        <v>22300</v>
      </c>
      <c r="G173" s="24">
        <f>C173-E173</f>
        <v>-5500</v>
      </c>
    </row>
    <row r="174" spans="2:8" x14ac:dyDescent="0.25">
      <c r="B174" s="4" t="s">
        <v>151</v>
      </c>
      <c r="C174" s="23">
        <v>267800</v>
      </c>
      <c r="E174" s="23">
        <f>267800+14400+36300</f>
        <v>318500</v>
      </c>
      <c r="G174" s="24">
        <f>C174-E174</f>
        <v>-50700</v>
      </c>
    </row>
    <row r="175" spans="2:8" x14ac:dyDescent="0.25">
      <c r="B175" s="4" t="s">
        <v>152</v>
      </c>
      <c r="C175" s="23">
        <v>172300</v>
      </c>
      <c r="E175" s="23">
        <f>172300+25100</f>
        <v>197400</v>
      </c>
      <c r="G175" s="24">
        <f>C175-E175</f>
        <v>-25100</v>
      </c>
    </row>
    <row r="176" spans="2:8" x14ac:dyDescent="0.25">
      <c r="B176" s="4" t="s">
        <v>172</v>
      </c>
      <c r="C176" s="23">
        <v>400</v>
      </c>
      <c r="E176" s="23">
        <v>400</v>
      </c>
      <c r="G176" s="24">
        <f>C176-E176</f>
        <v>0</v>
      </c>
    </row>
    <row r="177" spans="1:8" x14ac:dyDescent="0.25">
      <c r="B177" s="4" t="s">
        <v>25</v>
      </c>
      <c r="C177" s="113">
        <v>1000</v>
      </c>
      <c r="D177" s="114"/>
      <c r="E177" s="113">
        <v>1000</v>
      </c>
      <c r="F177" s="114"/>
      <c r="G177" s="102">
        <f>C177-E177</f>
        <v>0</v>
      </c>
    </row>
    <row r="178" spans="1:8" x14ac:dyDescent="0.25">
      <c r="C178" s="112"/>
      <c r="E178" s="112"/>
      <c r="G178" s="128"/>
    </row>
    <row r="179" spans="1:8" s="1" customFormat="1" x14ac:dyDescent="0.25">
      <c r="C179" s="113"/>
      <c r="D179" s="114"/>
      <c r="E179" s="113"/>
      <c r="F179" s="114"/>
      <c r="G179" s="113"/>
      <c r="H179" s="114"/>
    </row>
    <row r="180" spans="1:8" x14ac:dyDescent="0.25">
      <c r="B180" s="11" t="s">
        <v>55</v>
      </c>
      <c r="C180" s="23">
        <f>SUM(C173:C179)</f>
        <v>458300</v>
      </c>
      <c r="E180" s="23">
        <f>SUM(E173:E179)</f>
        <v>539600</v>
      </c>
      <c r="G180" s="23">
        <f>SUM(G173:G179)</f>
        <v>-81300</v>
      </c>
    </row>
    <row r="181" spans="1:8" ht="18.75" thickBot="1" x14ac:dyDescent="0.3">
      <c r="C181" s="116"/>
      <c r="E181" s="116"/>
      <c r="G181" s="116"/>
    </row>
    <row r="182" spans="1:8" ht="18.75" thickTop="1" x14ac:dyDescent="0.25"/>
    <row r="183" spans="1:8" x14ac:dyDescent="0.25">
      <c r="C183" s="113"/>
      <c r="E183" s="113"/>
      <c r="G183" s="113"/>
    </row>
    <row r="184" spans="1:8" ht="39.75" customHeight="1" x14ac:dyDescent="0.35">
      <c r="A184" s="162"/>
      <c r="B184" s="224" t="s">
        <v>17</v>
      </c>
      <c r="C184" s="225"/>
      <c r="D184" s="225"/>
      <c r="E184" s="225"/>
      <c r="F184" s="225"/>
      <c r="G184" s="226"/>
    </row>
    <row r="187" spans="1:8" x14ac:dyDescent="0.25">
      <c r="A187" s="5"/>
      <c r="B187" s="166"/>
      <c r="C187" s="104" t="s">
        <v>200</v>
      </c>
      <c r="E187" s="104" t="s">
        <v>212</v>
      </c>
      <c r="G187" s="104"/>
    </row>
    <row r="188" spans="1:8" x14ac:dyDescent="0.25">
      <c r="C188" s="105" t="s">
        <v>95</v>
      </c>
      <c r="E188" s="105" t="s">
        <v>40</v>
      </c>
      <c r="G188" s="105" t="s">
        <v>41</v>
      </c>
    </row>
    <row r="189" spans="1:8" x14ac:dyDescent="0.25">
      <c r="C189" s="106" t="s">
        <v>42</v>
      </c>
      <c r="E189" s="106" t="s">
        <v>42</v>
      </c>
      <c r="G189" s="106" t="s">
        <v>28</v>
      </c>
    </row>
    <row r="190" spans="1:8" x14ac:dyDescent="0.25">
      <c r="B190" s="85"/>
      <c r="C190" s="23"/>
      <c r="E190" s="23"/>
      <c r="G190" s="23"/>
    </row>
    <row r="191" spans="1:8" ht="20.25" x14ac:dyDescent="0.3">
      <c r="B191" s="150" t="s">
        <v>145</v>
      </c>
      <c r="C191" s="23" t="s">
        <v>0</v>
      </c>
      <c r="E191" s="23" t="s">
        <v>0</v>
      </c>
      <c r="G191" s="23" t="s">
        <v>0</v>
      </c>
    </row>
    <row r="192" spans="1:8" x14ac:dyDescent="0.25">
      <c r="B192" s="3"/>
      <c r="C192" s="23"/>
      <c r="E192" s="23"/>
      <c r="G192" s="23"/>
    </row>
    <row r="193" spans="1:8" x14ac:dyDescent="0.25">
      <c r="B193" s="4" t="s">
        <v>170</v>
      </c>
      <c r="C193" s="23">
        <v>5000</v>
      </c>
      <c r="E193" s="23">
        <v>5000</v>
      </c>
      <c r="G193" s="24">
        <f t="shared" ref="G193:G199" si="2">C193-E193</f>
        <v>0</v>
      </c>
    </row>
    <row r="194" spans="1:8" x14ac:dyDescent="0.25">
      <c r="B194" s="4" t="s">
        <v>153</v>
      </c>
      <c r="C194" s="23">
        <v>2600</v>
      </c>
      <c r="E194" s="23">
        <f>2600-1100</f>
        <v>1500</v>
      </c>
      <c r="G194" s="24">
        <f t="shared" si="2"/>
        <v>1100</v>
      </c>
    </row>
    <row r="195" spans="1:8" x14ac:dyDescent="0.25">
      <c r="B195" s="4" t="s">
        <v>154</v>
      </c>
      <c r="C195" s="113">
        <v>6100</v>
      </c>
      <c r="D195" s="114"/>
      <c r="E195" s="113">
        <f>6100+1400</f>
        <v>7500</v>
      </c>
      <c r="G195" s="24">
        <f t="shared" si="2"/>
        <v>-1400</v>
      </c>
    </row>
    <row r="196" spans="1:8" x14ac:dyDescent="0.25">
      <c r="B196" s="4" t="s">
        <v>218</v>
      </c>
      <c r="C196" s="113">
        <v>0</v>
      </c>
      <c r="D196" s="114"/>
      <c r="E196" s="113">
        <v>1600</v>
      </c>
      <c r="G196" s="24">
        <f t="shared" si="2"/>
        <v>-1600</v>
      </c>
    </row>
    <row r="197" spans="1:8" x14ac:dyDescent="0.25">
      <c r="B197" s="4" t="s">
        <v>155</v>
      </c>
      <c r="C197" s="23">
        <v>3100</v>
      </c>
      <c r="E197" s="23">
        <f>3100-200-400</f>
        <v>2500</v>
      </c>
      <c r="G197" s="24">
        <f t="shared" si="2"/>
        <v>600</v>
      </c>
    </row>
    <row r="198" spans="1:8" x14ac:dyDescent="0.25">
      <c r="B198" s="4" t="s">
        <v>56</v>
      </c>
      <c r="C198" s="113">
        <v>66800</v>
      </c>
      <c r="D198" s="114"/>
      <c r="E198" s="113">
        <f>66800+4100-1300-2000+500-5000-4000</f>
        <v>59100</v>
      </c>
      <c r="F198" s="114"/>
      <c r="G198" s="24">
        <f t="shared" si="2"/>
        <v>7700</v>
      </c>
    </row>
    <row r="199" spans="1:8" x14ac:dyDescent="0.25">
      <c r="B199" s="4" t="s">
        <v>187</v>
      </c>
      <c r="C199" s="113">
        <v>12000</v>
      </c>
      <c r="D199" s="114"/>
      <c r="E199" s="113">
        <v>12000</v>
      </c>
      <c r="F199" s="114"/>
      <c r="G199" s="24">
        <f t="shared" si="2"/>
        <v>0</v>
      </c>
    </row>
    <row r="200" spans="1:8" x14ac:dyDescent="0.25">
      <c r="C200" s="112"/>
      <c r="E200" s="112"/>
      <c r="G200" s="112"/>
    </row>
    <row r="201" spans="1:8" s="1" customFormat="1" x14ac:dyDescent="0.25">
      <c r="C201" s="113"/>
      <c r="D201" s="114"/>
      <c r="E201" s="113"/>
      <c r="F201" s="114"/>
      <c r="G201" s="113"/>
      <c r="H201" s="114"/>
    </row>
    <row r="202" spans="1:8" x14ac:dyDescent="0.25">
      <c r="B202" s="11" t="s">
        <v>55</v>
      </c>
      <c r="C202" s="23">
        <f>SUM(C193:C201)</f>
        <v>95600</v>
      </c>
      <c r="E202" s="23">
        <f>SUM(E193:E201)</f>
        <v>89200</v>
      </c>
      <c r="G202" s="23">
        <f>SUM(G193:G201)</f>
        <v>6400</v>
      </c>
    </row>
    <row r="203" spans="1:8" ht="18.75" thickBot="1" x14ac:dyDescent="0.3">
      <c r="C203" s="116"/>
      <c r="E203" s="116"/>
      <c r="G203" s="116"/>
    </row>
    <row r="204" spans="1:8" ht="18.75" thickTop="1" x14ac:dyDescent="0.25">
      <c r="B204" s="3"/>
      <c r="C204" s="23"/>
      <c r="E204" s="23"/>
      <c r="G204" s="23"/>
    </row>
    <row r="205" spans="1:8" x14ac:dyDescent="0.25">
      <c r="C205" s="102"/>
      <c r="E205" s="102"/>
      <c r="G205" s="102"/>
    </row>
    <row r="206" spans="1:8" x14ac:dyDescent="0.25">
      <c r="C206" s="102"/>
      <c r="E206" s="102"/>
      <c r="G206" s="102"/>
    </row>
    <row r="207" spans="1:8" ht="41.25" customHeight="1" x14ac:dyDescent="0.25">
      <c r="B207" s="224" t="s">
        <v>17</v>
      </c>
      <c r="C207" s="225"/>
      <c r="D207" s="225"/>
      <c r="E207" s="225"/>
      <c r="F207" s="225"/>
      <c r="G207" s="226"/>
    </row>
    <row r="208" spans="1:8" ht="18" customHeight="1" x14ac:dyDescent="0.35">
      <c r="A208" s="162"/>
      <c r="B208" s="162"/>
    </row>
    <row r="210" spans="1:8" x14ac:dyDescent="0.25">
      <c r="A210" s="5"/>
      <c r="B210" s="166"/>
      <c r="C210" s="104" t="s">
        <v>200</v>
      </c>
      <c r="E210" s="104" t="s">
        <v>212</v>
      </c>
      <c r="G210" s="104"/>
    </row>
    <row r="211" spans="1:8" x14ac:dyDescent="0.25">
      <c r="C211" s="105" t="s">
        <v>95</v>
      </c>
      <c r="E211" s="105" t="s">
        <v>40</v>
      </c>
      <c r="G211" s="105" t="s">
        <v>41</v>
      </c>
    </row>
    <row r="212" spans="1:8" x14ac:dyDescent="0.25">
      <c r="C212" s="106" t="s">
        <v>42</v>
      </c>
      <c r="E212" s="106" t="s">
        <v>42</v>
      </c>
      <c r="G212" s="106" t="s">
        <v>28</v>
      </c>
    </row>
    <row r="213" spans="1:8" x14ac:dyDescent="0.25">
      <c r="C213" s="23"/>
      <c r="E213" s="23"/>
      <c r="G213" s="23"/>
    </row>
    <row r="214" spans="1:8" ht="20.25" x14ac:dyDescent="0.3">
      <c r="B214" s="117" t="s">
        <v>144</v>
      </c>
      <c r="C214" s="23" t="s">
        <v>0</v>
      </c>
      <c r="E214" s="23" t="s">
        <v>0</v>
      </c>
      <c r="G214" s="23" t="s">
        <v>0</v>
      </c>
    </row>
    <row r="215" spans="1:8" x14ac:dyDescent="0.25">
      <c r="C215" s="23"/>
      <c r="E215" s="23"/>
      <c r="G215" s="23"/>
    </row>
    <row r="216" spans="1:8" x14ac:dyDescent="0.25">
      <c r="B216" s="4" t="s">
        <v>6</v>
      </c>
      <c r="C216" s="23">
        <v>280900</v>
      </c>
      <c r="E216" s="23">
        <f>280900-44100+500-3900-8200-4500+500+10500+2800-15200+10000</f>
        <v>229300</v>
      </c>
      <c r="G216" s="23">
        <f>C216-E216</f>
        <v>51600</v>
      </c>
      <c r="H216" s="24"/>
    </row>
    <row r="217" spans="1:8" x14ac:dyDescent="0.25">
      <c r="B217" s="4" t="s">
        <v>25</v>
      </c>
      <c r="C217" s="23">
        <v>300</v>
      </c>
      <c r="E217" s="23">
        <v>300</v>
      </c>
      <c r="G217" s="23">
        <f>C217-E217</f>
        <v>0</v>
      </c>
    </row>
    <row r="218" spans="1:8" x14ac:dyDescent="0.25">
      <c r="B218" s="4" t="s">
        <v>56</v>
      </c>
      <c r="C218" s="113">
        <v>27600</v>
      </c>
      <c r="D218" s="114"/>
      <c r="E218" s="113">
        <f>27600+100+300+200-300-3400</f>
        <v>24500</v>
      </c>
      <c r="F218" s="114"/>
      <c r="G218" s="113">
        <f>C218-E218</f>
        <v>3100</v>
      </c>
    </row>
    <row r="219" spans="1:8" x14ac:dyDescent="0.25">
      <c r="B219" s="7"/>
      <c r="C219" s="112"/>
      <c r="E219" s="112"/>
      <c r="G219" s="112"/>
    </row>
    <row r="220" spans="1:8" x14ac:dyDescent="0.25">
      <c r="C220" s="113"/>
      <c r="E220" s="113"/>
      <c r="G220" s="113"/>
    </row>
    <row r="221" spans="1:8" x14ac:dyDescent="0.25">
      <c r="A221" s="1"/>
      <c r="B221" s="11" t="s">
        <v>55</v>
      </c>
      <c r="C221" s="113">
        <f>SUM(C216:C220)</f>
        <v>308800</v>
      </c>
      <c r="E221" s="113">
        <f>SUM(E216:E218)</f>
        <v>254100</v>
      </c>
      <c r="G221" s="113">
        <f>SUM(G216:G219)</f>
        <v>54700</v>
      </c>
    </row>
    <row r="222" spans="1:8" ht="18.75" thickBot="1" x14ac:dyDescent="0.3">
      <c r="A222" s="1"/>
      <c r="B222" s="100"/>
      <c r="C222" s="110"/>
      <c r="E222" s="110"/>
      <c r="G222" s="110"/>
    </row>
    <row r="223" spans="1:8" ht="18.75" thickTop="1" x14ac:dyDescent="0.25">
      <c r="A223" s="1"/>
      <c r="B223" s="1"/>
      <c r="C223" s="113"/>
      <c r="E223" s="113"/>
      <c r="G223" s="113"/>
    </row>
    <row r="225" spans="3:7" x14ac:dyDescent="0.25">
      <c r="D225" s="24"/>
    </row>
    <row r="226" spans="3:7" x14ac:dyDescent="0.25">
      <c r="D226" s="24"/>
    </row>
    <row r="228" spans="3:7" x14ac:dyDescent="0.25">
      <c r="C228" s="23"/>
      <c r="E228" s="23"/>
      <c r="G228" s="23"/>
    </row>
  </sheetData>
  <customSheetViews>
    <customSheetView guid="{CA1631C2-F325-11D6-AB9C-00B0D0BAF716}" scale="80" hiddenRows="1" showRuler="0" topLeftCell="A13">
      <selection activeCell="B25" sqref="B25"/>
      <rowBreaks count="5" manualBreakCount="5">
        <brk id="26" max="11" man="1"/>
        <brk id="72" max="11" man="1"/>
        <brk id="98" max="11" man="1"/>
        <brk id="134" max="11" man="1"/>
        <brk id="166" max="11" man="1"/>
      </rowBreaks>
      <pageMargins left="0.43307086614173229" right="0.39370078740157483" top="0.98425196850393704" bottom="0.98425196850393704" header="0.51181102362204722" footer="0.51181102362204722"/>
      <pageSetup paperSize="9" scale="64" firstPageNumber="69" orientation="portrait" useFirstPageNumber="1" horizontalDpi="1200" verticalDpi="1200" r:id="rId1"/>
      <headerFooter alignWithMargins="0">
        <oddHeader>&amp;R&amp;14BUDGET HOLDER L COOKE</oddHeader>
        <oddFooter>&amp;C&amp;18&amp;P</oddFooter>
      </headerFooter>
    </customSheetView>
    <customSheetView guid="{061CE440-224A-11D7-AABC-0050DA1BA6DB}" scale="80" showRuler="0" topLeftCell="C61">
      <selection activeCell="N74" sqref="N74"/>
      <rowBreaks count="6" manualBreakCount="6">
        <brk id="29" max="11" man="1"/>
        <brk id="76" max="11" man="1"/>
        <brk id="119" max="11" man="1"/>
        <brk id="140" max="11" man="1"/>
        <brk id="173" max="11" man="1"/>
        <brk id="211" max="11" man="1"/>
      </rowBreaks>
      <pageMargins left="0.43307086614173229" right="0.39370078740157483" top="0.98425196850393704" bottom="0.98425196850393704" header="0.51181102362204722" footer="0.51181102362204722"/>
      <pageSetup paperSize="9" scale="64" firstPageNumber="72" orientation="portrait" useFirstPageNumber="1" horizontalDpi="1200" verticalDpi="1200" r:id="rId2"/>
      <headerFooter alignWithMargins="0">
        <oddHeader>&amp;R&amp;18APPENDIX B</oddHeader>
        <oddFooter>&amp;C&amp;18&amp;P</oddFooter>
      </headerFooter>
    </customSheetView>
  </customSheetViews>
  <mergeCells count="7">
    <mergeCell ref="B184:G184"/>
    <mergeCell ref="B207:G207"/>
    <mergeCell ref="B2:G2"/>
    <mergeCell ref="B35:G35"/>
    <mergeCell ref="B59:G59"/>
    <mergeCell ref="B103:G103"/>
    <mergeCell ref="B129:G129"/>
  </mergeCells>
  <phoneticPr fontId="0" type="noConversion"/>
  <pageMargins left="0.6692913385826772" right="0.27559055118110237" top="0.74803149606299213" bottom="1.1811023622047245" header="1.3779527559055118" footer="0.59055118110236227"/>
  <pageSetup paperSize="9" scale="48" firstPageNumber="35" orientation="portrait" useFirstPageNumber="1" r:id="rId3"/>
  <headerFooter alignWithMargins="0">
    <oddFooter>&amp;C&amp;18&amp;P</oddFooter>
  </headerFooter>
  <rowBreaks count="4" manualBreakCount="4">
    <brk id="33" max="7" man="1"/>
    <brk id="101" max="7" man="1"/>
    <brk id="165" max="7" man="1"/>
    <brk id="20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CTaxSum Page </vt:lpstr>
      <vt:lpstr>Planning &amp; ED</vt:lpstr>
      <vt:lpstr>Housing </vt:lpstr>
      <vt:lpstr>Partnerships</vt:lpstr>
      <vt:lpstr>Env Health</vt:lpstr>
      <vt:lpstr> Street Scene</vt:lpstr>
      <vt:lpstr>Asset Management</vt:lpstr>
      <vt:lpstr>Finance &amp; Bus Services</vt:lpstr>
      <vt:lpstr>Legal &amp; Democratic </vt:lpstr>
      <vt:lpstr>Human Resources</vt:lpstr>
      <vt:lpstr>Directors</vt:lpstr>
      <vt:lpstr>Assurance Services</vt:lpstr>
      <vt:lpstr>General Expenses</vt:lpstr>
      <vt:lpstr>' Street Scene'!Print_Area</vt:lpstr>
      <vt:lpstr>'Asset Management'!Print_Area</vt:lpstr>
      <vt:lpstr>'Assurance Services'!Print_Area</vt:lpstr>
      <vt:lpstr>'CTaxSum Page '!Print_Area</vt:lpstr>
      <vt:lpstr>Directors!Print_Area</vt:lpstr>
      <vt:lpstr>'Env Health'!Print_Area</vt:lpstr>
      <vt:lpstr>'Finance &amp; Bus Services'!Print_Area</vt:lpstr>
      <vt:lpstr>'General Expenses'!Print_Area</vt:lpstr>
      <vt:lpstr>'Housing '!Print_Area</vt:lpstr>
      <vt:lpstr>'Human Resources'!Print_Area</vt:lpstr>
      <vt:lpstr>'Legal &amp; Democratic '!Print_Area</vt:lpstr>
      <vt:lpstr>Partnerships!Print_Area</vt:lpstr>
      <vt:lpstr>'Planning &amp; 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2022/23 BUDGET BOOK</dc:title>
  <dc:creator>Mike Hatton</dc:creator>
  <cp:lastModifiedBy>Alex Wright</cp:lastModifiedBy>
  <cp:lastPrinted>2025-04-29T08:57:12Z</cp:lastPrinted>
  <dcterms:created xsi:type="dcterms:W3CDTF">2000-03-10T10:27:28Z</dcterms:created>
  <dcterms:modified xsi:type="dcterms:W3CDTF">2025-04-29T15:22:10Z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